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000" windowHeight="8265" tabRatio="320" activeTab="1"/>
  </bookViews>
  <sheets>
    <sheet name="VIC Calc 27" sheetId="1" r:id="rId1"/>
    <sheet name="VIC Calc 30" sheetId="2" r:id="rId2"/>
    <sheet name="Wire Calc" sheetId="3" r:id="rId3"/>
  </sheets>
  <definedNames>
    <definedName name="_xlfn.FLOOR.MATH" hidden="1">#NAME?</definedName>
    <definedName name="DesiredRatio24">'VIC Calc 27'!$H$12</definedName>
    <definedName name="DesiredRatio30">'VIC Calc 30'!$H$12</definedName>
    <definedName name="GoalSeek24" localSheetId="0">'VIC Calc 27'!$J$3</definedName>
    <definedName name="GoalSeek30" localSheetId="1">'VIC Calc 30'!$J$3</definedName>
    <definedName name="PrimaryTurns24">'VIC Calc 27'!$C$3</definedName>
    <definedName name="PrimaryTurns30">'VIC Calc 30'!$C$3</definedName>
    <definedName name="SeekRatio24">'VIC Calc 27'!$D$6</definedName>
    <definedName name="SeekRatio30">'VIC Calc 30'!$D$6</definedName>
    <definedName name="TurnsRatio24" localSheetId="0">'VIC Calc 27'!$D$3</definedName>
    <definedName name="TurnsRatio30" localSheetId="1">'VIC Calc 30'!$D$3</definedName>
  </definedNames>
  <calcPr fullCalcOnLoad="1"/>
</workbook>
</file>

<file path=xl/sharedStrings.xml><?xml version="1.0" encoding="utf-8"?>
<sst xmlns="http://schemas.openxmlformats.org/spreadsheetml/2006/main" count="80" uniqueCount="47">
  <si>
    <t>Primary</t>
  </si>
  <si>
    <t>Turns</t>
  </si>
  <si>
    <t>Secondary Side</t>
  </si>
  <si>
    <t>Ratio</t>
  </si>
  <si>
    <t>Secondary</t>
  </si>
  <si>
    <t>Pos Choke</t>
  </si>
  <si>
    <t>Neg Choke</t>
  </si>
  <si>
    <t>Goal Seek this value to zero by changing D3</t>
  </si>
  <si>
    <t>All bobbins have identical diameter so that layer count is equal and turns per ohm is consistent.</t>
  </si>
  <si>
    <t>Non-calculated values</t>
  </si>
  <si>
    <t>Bobbin Width (mm)</t>
  </si>
  <si>
    <t>Resistance (Ohms)</t>
  </si>
  <si>
    <t>Power (Watts)</t>
  </si>
  <si>
    <t>Current (Amps)</t>
  </si>
  <si>
    <t>Potential (Volts)</t>
  </si>
  <si>
    <t>Turns/Ohm (Ave)</t>
  </si>
  <si>
    <t>Gauge</t>
  </si>
  <si>
    <t>Ohms/km</t>
  </si>
  <si>
    <t>Layers</t>
  </si>
  <si>
    <t>(mm)</t>
  </si>
  <si>
    <t>Diameter</t>
  </si>
  <si>
    <t>Turns/Ohm</t>
  </si>
  <si>
    <t>Ohms/mm</t>
  </si>
  <si>
    <t>Layer</t>
  </si>
  <si>
    <t>Turns/Layer</t>
  </si>
  <si>
    <t>(Ohms)</t>
  </si>
  <si>
    <t>Total</t>
  </si>
  <si>
    <t>Bobbin</t>
  </si>
  <si>
    <t>Width</t>
  </si>
  <si>
    <t>Ave.</t>
  </si>
  <si>
    <t>Circumference (mm)</t>
  </si>
  <si>
    <t>Linked values</t>
  </si>
  <si>
    <t>A Diameter</t>
  </si>
  <si>
    <t>B Diameter</t>
  </si>
  <si>
    <t>A Diameter (mm)</t>
  </si>
  <si>
    <t>B Diameter (mm)</t>
  </si>
  <si>
    <t>Desired Ratio</t>
  </si>
  <si>
    <t>Full Layer Wire Length (mm)</t>
  </si>
  <si>
    <t>Cumulative Wire Length (mm)</t>
  </si>
  <si>
    <t>Full Layer</t>
  </si>
  <si>
    <t>Last Layer</t>
  </si>
  <si>
    <t>Wire Length</t>
  </si>
  <si>
    <t>AWG 30</t>
  </si>
  <si>
    <t>Bobbin Flange</t>
  </si>
  <si>
    <t>Wire Chart Parameters</t>
  </si>
  <si>
    <t>AWG 27</t>
  </si>
  <si>
    <t>http://www.powerstream.com/Wire_Size.htm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</si>
</sst>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53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u val="single"/>
      <sz val="11"/>
      <color indexed="3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thick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0" fillId="33" borderId="0" xfId="0" applyFill="1" applyAlignment="1">
      <alignment/>
    </xf>
    <xf numFmtId="0" fontId="36" fillId="0" borderId="10" xfId="0" applyFont="1" applyBorder="1" applyAlignment="1">
      <alignment horizontal="center"/>
    </xf>
    <xf numFmtId="0" fontId="36" fillId="0" borderId="11" xfId="0" applyFont="1" applyBorder="1" applyAlignment="1">
      <alignment horizontal="center"/>
    </xf>
    <xf numFmtId="0" fontId="36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36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36" fillId="0" borderId="0" xfId="0" applyFont="1" applyFill="1" applyBorder="1" applyAlignment="1">
      <alignment/>
    </xf>
    <xf numFmtId="0" fontId="0" fillId="34" borderId="16" xfId="0" applyFill="1" applyBorder="1" applyAlignment="1">
      <alignment/>
    </xf>
    <xf numFmtId="0" fontId="0" fillId="17" borderId="0" xfId="0" applyFill="1" applyAlignment="1">
      <alignment/>
    </xf>
    <xf numFmtId="0" fontId="0" fillId="0" borderId="14" xfId="0" applyFill="1" applyBorder="1" applyAlignment="1">
      <alignment/>
    </xf>
    <xf numFmtId="0" fontId="36" fillId="0" borderId="0" xfId="0" applyFont="1" applyAlignment="1">
      <alignment horizontal="center"/>
    </xf>
    <xf numFmtId="0" fontId="36" fillId="0" borderId="18" xfId="0" applyFont="1" applyBorder="1" applyAlignment="1">
      <alignment horizontal="center"/>
    </xf>
    <xf numFmtId="0" fontId="0" fillId="0" borderId="0" xfId="0" applyFill="1" applyAlignment="1">
      <alignment/>
    </xf>
    <xf numFmtId="0" fontId="36" fillId="34" borderId="0" xfId="0" applyFont="1" applyFill="1" applyBorder="1" applyAlignment="1">
      <alignment horizontal="center"/>
    </xf>
    <xf numFmtId="0" fontId="0" fillId="34" borderId="0" xfId="0" applyFill="1" applyBorder="1" applyAlignment="1">
      <alignment/>
    </xf>
    <xf numFmtId="0" fontId="0" fillId="0" borderId="0" xfId="0" applyNumberFormat="1" applyAlignment="1">
      <alignment/>
    </xf>
    <xf numFmtId="0" fontId="0" fillId="34" borderId="19" xfId="0" applyFill="1" applyBorder="1" applyAlignment="1">
      <alignment/>
    </xf>
    <xf numFmtId="0" fontId="0" fillId="0" borderId="20" xfId="0" applyBorder="1" applyAlignment="1">
      <alignment/>
    </xf>
    <xf numFmtId="0" fontId="36" fillId="0" borderId="20" xfId="0" applyFont="1" applyBorder="1" applyAlignment="1">
      <alignment horizontal="center"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22" xfId="0" applyFill="1" applyBorder="1" applyAlignment="1">
      <alignment/>
    </xf>
    <xf numFmtId="0" fontId="36" fillId="0" borderId="0" xfId="0" applyFont="1" applyBorder="1" applyAlignment="1">
      <alignment horizontal="center"/>
    </xf>
    <xf numFmtId="0" fontId="36" fillId="34" borderId="23" xfId="0" applyFont="1" applyFill="1" applyBorder="1" applyAlignment="1">
      <alignment horizontal="center"/>
    </xf>
    <xf numFmtId="0" fontId="36" fillId="34" borderId="22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34" borderId="23" xfId="0" applyFill="1" applyBorder="1" applyAlignment="1">
      <alignment/>
    </xf>
    <xf numFmtId="0" fontId="0" fillId="34" borderId="24" xfId="0" applyFill="1" applyBorder="1" applyAlignment="1">
      <alignment/>
    </xf>
    <xf numFmtId="0" fontId="0" fillId="0" borderId="25" xfId="0" applyBorder="1" applyAlignment="1">
      <alignment/>
    </xf>
    <xf numFmtId="0" fontId="0" fillId="34" borderId="25" xfId="0" applyFill="1" applyBorder="1" applyAlignment="1">
      <alignment/>
    </xf>
    <xf numFmtId="0" fontId="0" fillId="34" borderId="26" xfId="0" applyFill="1" applyBorder="1" applyAlignment="1">
      <alignment/>
    </xf>
    <xf numFmtId="0" fontId="36" fillId="0" borderId="0" xfId="0" applyFont="1" applyAlignment="1">
      <alignment textRotation="90"/>
    </xf>
    <xf numFmtId="0" fontId="36" fillId="0" borderId="0" xfId="0" applyFont="1" applyFill="1" applyAlignment="1">
      <alignment textRotation="90"/>
    </xf>
    <xf numFmtId="0" fontId="36" fillId="0" borderId="18" xfId="0" applyFont="1" applyBorder="1" applyAlignment="1">
      <alignment horizontal="center" textRotation="90"/>
    </xf>
    <xf numFmtId="0" fontId="36" fillId="0" borderId="0" xfId="0" applyFont="1" applyBorder="1" applyAlignment="1">
      <alignment horizontal="center" textRotation="90"/>
    </xf>
    <xf numFmtId="0" fontId="36" fillId="0" borderId="0" xfId="0" applyFont="1" applyFill="1" applyBorder="1" applyAlignment="1">
      <alignment horizontal="center" textRotation="90"/>
    </xf>
    <xf numFmtId="0" fontId="0" fillId="35" borderId="0" xfId="0" applyFill="1" applyAlignment="1">
      <alignment/>
    </xf>
    <xf numFmtId="0" fontId="0" fillId="35" borderId="0" xfId="0" applyFill="1" applyBorder="1" applyAlignment="1">
      <alignment/>
    </xf>
    <xf numFmtId="0" fontId="0" fillId="35" borderId="25" xfId="0" applyFill="1" applyBorder="1" applyAlignment="1">
      <alignment/>
    </xf>
    <xf numFmtId="0" fontId="0" fillId="35" borderId="13" xfId="0" applyFill="1" applyBorder="1" applyAlignment="1">
      <alignment/>
    </xf>
    <xf numFmtId="0" fontId="36" fillId="0" borderId="0" xfId="0" applyFont="1" applyFill="1" applyAlignment="1">
      <alignment horizontal="center"/>
    </xf>
    <xf numFmtId="0" fontId="36" fillId="34" borderId="20" xfId="0" applyFont="1" applyFill="1" applyBorder="1" applyAlignment="1">
      <alignment horizontal="center"/>
    </xf>
    <xf numFmtId="0" fontId="24" fillId="36" borderId="27" xfId="0" applyFont="1" applyFill="1" applyBorder="1" applyAlignment="1">
      <alignment horizontal="center"/>
    </xf>
    <xf numFmtId="0" fontId="0" fillId="37" borderId="0" xfId="0" applyFill="1" applyAlignment="1">
      <alignment/>
    </xf>
    <xf numFmtId="0" fontId="5" fillId="37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33" borderId="13" xfId="0" applyFill="1" applyBorder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25" xfId="0" applyFill="1" applyBorder="1" applyAlignment="1" applyProtection="1">
      <alignment/>
      <protection locked="0"/>
    </xf>
    <xf numFmtId="0" fontId="30" fillId="0" borderId="0" xfId="52" applyAlignment="1">
      <alignment/>
    </xf>
    <xf numFmtId="0" fontId="36" fillId="0" borderId="20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20" xfId="0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powerstream.com/Wire_Size.htm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tabColor theme="9"/>
  </sheetPr>
  <dimension ref="B2:J14"/>
  <sheetViews>
    <sheetView zoomScalePageLayoutView="0" workbookViewId="0" topLeftCell="A1">
      <selection activeCell="H12" sqref="H12"/>
    </sheetView>
  </sheetViews>
  <sheetFormatPr defaultColWidth="9.140625" defaultRowHeight="15"/>
  <cols>
    <col min="1" max="1" width="3.7109375" style="0" customWidth="1"/>
    <col min="2" max="2" width="19.140625" style="0" customWidth="1"/>
    <col min="3" max="4" width="9.28125" style="0" customWidth="1"/>
    <col min="5" max="5" width="10.7109375" style="0" customWidth="1"/>
    <col min="6" max="6" width="11.28125" style="0" customWidth="1"/>
    <col min="7" max="7" width="11.00390625" style="0" customWidth="1"/>
    <col min="8" max="8" width="15.140625" style="0" customWidth="1"/>
    <col min="9" max="9" width="4.140625" style="0" customWidth="1"/>
    <col min="10" max="10" width="9.140625" style="0" hidden="1" customWidth="1"/>
  </cols>
  <sheetData>
    <row r="1" ht="15.75" thickBot="1"/>
    <row r="2" spans="2:10" ht="15">
      <c r="B2" s="49" t="s">
        <v>45</v>
      </c>
      <c r="C2" s="3" t="s">
        <v>0</v>
      </c>
      <c r="D2" s="3" t="s">
        <v>3</v>
      </c>
      <c r="E2" s="3" t="s">
        <v>4</v>
      </c>
      <c r="F2" s="3" t="s">
        <v>5</v>
      </c>
      <c r="G2" s="3" t="s">
        <v>6</v>
      </c>
      <c r="H2" s="4" t="s">
        <v>2</v>
      </c>
      <c r="J2" s="13" t="s">
        <v>7</v>
      </c>
    </row>
    <row r="3" spans="2:10" ht="15">
      <c r="B3" s="5" t="s">
        <v>1</v>
      </c>
      <c r="C3" s="53">
        <v>198.98074976887852</v>
      </c>
      <c r="D3" s="53">
        <v>6.000408113588867</v>
      </c>
      <c r="E3" s="6">
        <f>C3*D3</f>
        <v>1193.9657053611747</v>
      </c>
      <c r="F3" s="6">
        <f>E3</f>
        <v>1193.9657053611747</v>
      </c>
      <c r="G3" s="6">
        <f>E3</f>
        <v>1193.9657053611747</v>
      </c>
      <c r="H3" s="7">
        <f>SUM(E3:G3)</f>
        <v>3581.8971160835245</v>
      </c>
      <c r="J3" s="15">
        <f>D3-D6</f>
        <v>6.985987152141604E-05</v>
      </c>
    </row>
    <row r="4" spans="2:8" ht="15">
      <c r="B4" s="5" t="s">
        <v>15</v>
      </c>
      <c r="C4" s="46">
        <f>'Wire Calc'!$U$5</f>
        <v>45.61010402472723</v>
      </c>
      <c r="D4" s="8"/>
      <c r="E4" s="6">
        <f>C4</f>
        <v>45.61010402472723</v>
      </c>
      <c r="F4" s="6">
        <f>C4</f>
        <v>45.61010402472723</v>
      </c>
      <c r="G4" s="6">
        <f>C4</f>
        <v>45.61010402472723</v>
      </c>
      <c r="H4" s="9"/>
    </row>
    <row r="5" spans="2:8" ht="15">
      <c r="B5" s="5" t="s">
        <v>10</v>
      </c>
      <c r="C5" s="53">
        <v>5</v>
      </c>
      <c r="D5" s="8"/>
      <c r="E5" s="6">
        <f>C5*D3</f>
        <v>30.002040567944338</v>
      </c>
      <c r="F5" s="6">
        <f>C5*D3</f>
        <v>30.002040567944338</v>
      </c>
      <c r="G5" s="6">
        <f>C5*D3</f>
        <v>30.002040567944338</v>
      </c>
      <c r="H5" s="9"/>
    </row>
    <row r="6" spans="2:8" ht="15">
      <c r="B6" s="5" t="s">
        <v>11</v>
      </c>
      <c r="C6" s="6">
        <f>C3/C4</f>
        <v>4.362646260596169</v>
      </c>
      <c r="D6" s="6">
        <f>SQRT(H6/C6)</f>
        <v>6.000338253717346</v>
      </c>
      <c r="E6" s="6">
        <f>E3/E4</f>
        <v>26.177658018799384</v>
      </c>
      <c r="F6" s="6">
        <f>F3/F4</f>
        <v>26.177658018799384</v>
      </c>
      <c r="G6" s="6">
        <f>G3/G4</f>
        <v>26.177658018799384</v>
      </c>
      <c r="H6" s="7">
        <f>SUM(E6:G6)+78.54</f>
        <v>157.07297405639815</v>
      </c>
    </row>
    <row r="7" spans="2:8" ht="15">
      <c r="B7" s="5" t="s">
        <v>14</v>
      </c>
      <c r="C7" s="53">
        <v>7</v>
      </c>
      <c r="D7" s="8"/>
      <c r="E7" s="8"/>
      <c r="F7" s="8"/>
      <c r="G7" s="8"/>
      <c r="H7" s="16">
        <f>C7*D6</f>
        <v>42.00236777602142</v>
      </c>
    </row>
    <row r="8" spans="2:8" ht="15">
      <c r="B8" s="5" t="s">
        <v>13</v>
      </c>
      <c r="C8" s="6">
        <f>C7/C6</f>
        <v>1.6045307324649851</v>
      </c>
      <c r="D8" s="8"/>
      <c r="E8" s="8"/>
      <c r="F8" s="8"/>
      <c r="G8" s="8"/>
      <c r="H8" s="16">
        <f>C8/D6</f>
        <v>0.2674067135250153</v>
      </c>
    </row>
    <row r="9" spans="2:8" ht="15.75" thickBot="1">
      <c r="B9" s="10" t="s">
        <v>12</v>
      </c>
      <c r="C9" s="11">
        <f>C7*C8</f>
        <v>11.231715127254896</v>
      </c>
      <c r="D9" s="11">
        <f>H9/C9</f>
        <v>0.9999999999999999</v>
      </c>
      <c r="E9" s="14"/>
      <c r="F9" s="14"/>
      <c r="G9" s="14"/>
      <c r="H9" s="12">
        <f>(C7*D6)^2/H6</f>
        <v>11.231715127254894</v>
      </c>
    </row>
    <row r="11" ht="15">
      <c r="H11" s="47" t="s">
        <v>36</v>
      </c>
    </row>
    <row r="12" spans="2:8" ht="15">
      <c r="B12" s="2" t="s">
        <v>9</v>
      </c>
      <c r="C12" s="2"/>
      <c r="H12" s="54">
        <v>6</v>
      </c>
    </row>
    <row r="13" spans="2:3" ht="15">
      <c r="B13" s="43" t="s">
        <v>31</v>
      </c>
      <c r="C13" s="19"/>
    </row>
    <row r="14" spans="2:5" ht="15">
      <c r="B14" t="s">
        <v>8</v>
      </c>
      <c r="E14" s="1"/>
    </row>
  </sheetData>
  <sheetProtection sheet="1" objects="1" scenarios="1"/>
  <printOptions/>
  <pageMargins left="0.7" right="0.7" top="0.75" bottom="0.75" header="0.3" footer="0.3"/>
  <pageSetup horizontalDpi="600" verticalDpi="600" orientation="portrait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tabColor theme="5"/>
  </sheetPr>
  <dimension ref="B2:J14"/>
  <sheetViews>
    <sheetView tabSelected="1" zoomScalePageLayoutView="0" workbookViewId="0" topLeftCell="A1">
      <selection activeCell="H12" sqref="H12"/>
    </sheetView>
  </sheetViews>
  <sheetFormatPr defaultColWidth="9.140625" defaultRowHeight="15"/>
  <cols>
    <col min="1" max="1" width="3.7109375" style="0" customWidth="1"/>
    <col min="2" max="2" width="19.140625" style="0" customWidth="1"/>
    <col min="3" max="4" width="9.28125" style="0" customWidth="1"/>
    <col min="5" max="5" width="10.7109375" style="0" customWidth="1"/>
    <col min="6" max="6" width="11.28125" style="0" customWidth="1"/>
    <col min="7" max="7" width="11.00390625" style="0" customWidth="1"/>
    <col min="8" max="8" width="15.140625" style="0" customWidth="1"/>
    <col min="9" max="9" width="4.140625" style="0" customWidth="1"/>
    <col min="10" max="10" width="0" style="0" hidden="1" customWidth="1"/>
  </cols>
  <sheetData>
    <row r="1" ht="15.75" thickBot="1"/>
    <row r="2" spans="2:10" ht="15">
      <c r="B2" s="49" t="s">
        <v>42</v>
      </c>
      <c r="C2" s="3" t="s">
        <v>0</v>
      </c>
      <c r="D2" s="3" t="s">
        <v>3</v>
      </c>
      <c r="E2" s="3" t="s">
        <v>4</v>
      </c>
      <c r="F2" s="3" t="s">
        <v>5</v>
      </c>
      <c r="G2" s="3" t="s">
        <v>6</v>
      </c>
      <c r="H2" s="4" t="s">
        <v>2</v>
      </c>
      <c r="J2" s="13" t="s">
        <v>7</v>
      </c>
    </row>
    <row r="3" spans="2:10" ht="15">
      <c r="B3" s="5" t="s">
        <v>1</v>
      </c>
      <c r="C3" s="53">
        <v>232.44888681612412</v>
      </c>
      <c r="D3" s="53">
        <v>4.679247708226782</v>
      </c>
      <c r="E3" s="6">
        <f>C3*D3</f>
        <v>1087.6859209142156</v>
      </c>
      <c r="F3" s="6">
        <f>E3</f>
        <v>1087.6859209142156</v>
      </c>
      <c r="G3" s="6">
        <f>E3</f>
        <v>1087.6859209142156</v>
      </c>
      <c r="H3" s="7">
        <f>SUM(E3:G3)</f>
        <v>3263.0577627426464</v>
      </c>
      <c r="J3" s="15">
        <f>D3-D6</f>
        <v>-0.00018690484169692212</v>
      </c>
    </row>
    <row r="4" spans="2:8" ht="15">
      <c r="B4" s="5" t="s">
        <v>15</v>
      </c>
      <c r="C4" s="46">
        <f>'Wire Calc'!$U$6</f>
        <v>23.2607675785039</v>
      </c>
      <c r="D4" s="8"/>
      <c r="E4" s="6">
        <f>C4</f>
        <v>23.2607675785039</v>
      </c>
      <c r="F4" s="6">
        <f>C4</f>
        <v>23.2607675785039</v>
      </c>
      <c r="G4" s="6">
        <f>C4</f>
        <v>23.2607675785039</v>
      </c>
      <c r="H4" s="9"/>
    </row>
    <row r="5" spans="2:8" ht="15">
      <c r="B5" s="5" t="s">
        <v>10</v>
      </c>
      <c r="C5" s="53">
        <v>6.4</v>
      </c>
      <c r="D5" s="8"/>
      <c r="E5" s="6">
        <f>C5*D3</f>
        <v>29.947185332651408</v>
      </c>
      <c r="F5" s="6">
        <f>C5*D3</f>
        <v>29.947185332651408</v>
      </c>
      <c r="G5" s="6">
        <f>C5*D3</f>
        <v>29.947185332651408</v>
      </c>
      <c r="H5" s="9"/>
    </row>
    <row r="6" spans="2:8" ht="15">
      <c r="B6" s="5" t="s">
        <v>11</v>
      </c>
      <c r="C6" s="6">
        <f>C3/C4</f>
        <v>9.993173528415218</v>
      </c>
      <c r="D6" s="6">
        <f>SQRT(H6/C6)</f>
        <v>4.679434613068479</v>
      </c>
      <c r="E6" s="6">
        <f>E3/E4</f>
        <v>46.76053433074946</v>
      </c>
      <c r="F6" s="6">
        <f>F3/F4</f>
        <v>46.76053433074946</v>
      </c>
      <c r="G6" s="6">
        <f>G3/G4</f>
        <v>46.76053433074946</v>
      </c>
      <c r="H6" s="7">
        <f>SUM(E6:G6)+78.54</f>
        <v>218.82160299224836</v>
      </c>
    </row>
    <row r="7" spans="2:8" ht="15">
      <c r="B7" s="5" t="s">
        <v>14</v>
      </c>
      <c r="C7" s="53">
        <v>8</v>
      </c>
      <c r="D7" s="8"/>
      <c r="E7" s="8"/>
      <c r="F7" s="8"/>
      <c r="G7" s="8"/>
      <c r="H7" s="16">
        <f>C7*D6</f>
        <v>37.43547690454783</v>
      </c>
    </row>
    <row r="8" spans="2:8" ht="15">
      <c r="B8" s="5" t="s">
        <v>13</v>
      </c>
      <c r="C8" s="6">
        <f>C7/C6</f>
        <v>0.8005464907871656</v>
      </c>
      <c r="D8" s="8"/>
      <c r="E8" s="8"/>
      <c r="F8" s="8"/>
      <c r="G8" s="8"/>
      <c r="H8" s="16">
        <f>C8/D6</f>
        <v>0.1710776102205684</v>
      </c>
    </row>
    <row r="9" spans="2:8" ht="15.75" thickBot="1">
      <c r="B9" s="10" t="s">
        <v>12</v>
      </c>
      <c r="C9" s="11">
        <f>C7*C8</f>
        <v>6.404371926297324</v>
      </c>
      <c r="D9" s="11">
        <f>H9/C9</f>
        <v>1.0000000000000002</v>
      </c>
      <c r="E9" s="14"/>
      <c r="F9" s="14"/>
      <c r="G9" s="14"/>
      <c r="H9" s="12">
        <f>(C7*D6)^2/H6</f>
        <v>6.404371926297325</v>
      </c>
    </row>
    <row r="11" ht="15">
      <c r="H11" s="17" t="s">
        <v>36</v>
      </c>
    </row>
    <row r="12" spans="2:8" ht="15">
      <c r="B12" s="2" t="s">
        <v>9</v>
      </c>
      <c r="C12" s="2"/>
      <c r="H12" s="54">
        <v>4.68</v>
      </c>
    </row>
    <row r="13" spans="2:3" ht="15">
      <c r="B13" s="43" t="s">
        <v>31</v>
      </c>
      <c r="C13" s="19"/>
    </row>
    <row r="14" spans="2:5" ht="15">
      <c r="B14" t="s">
        <v>8</v>
      </c>
      <c r="E14" s="1"/>
    </row>
  </sheetData>
  <sheetProtection sheet="1" objects="1" scenarios="1"/>
  <printOptions/>
  <pageMargins left="0.7" right="0.7" top="0.75" bottom="0.75" header="0.3" footer="0.3"/>
  <pageSetup horizontalDpi="600" verticalDpi="600" orientation="portrait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tabColor theme="4"/>
  </sheetPr>
  <dimension ref="B2:AJ6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57421875" style="0" customWidth="1"/>
    <col min="2" max="2" width="3.7109375" style="0" customWidth="1"/>
    <col min="3" max="3" width="8.57421875" style="0" customWidth="1"/>
    <col min="4" max="4" width="9.7109375" style="0" customWidth="1"/>
    <col min="5" max="5" width="10.8515625" style="0" customWidth="1"/>
    <col min="6" max="6" width="9.7109375" style="0" customWidth="1"/>
    <col min="7" max="7" width="3.7109375" style="0" customWidth="1"/>
    <col min="8" max="8" width="11.57421875" style="0" customWidth="1"/>
    <col min="9" max="9" width="10.57421875" style="0" customWidth="1"/>
    <col min="10" max="10" width="7.140625" style="0" customWidth="1"/>
    <col min="11" max="11" width="3.7109375" style="0" customWidth="1"/>
    <col min="12" max="12" width="6.421875" style="0" customWidth="1"/>
    <col min="13" max="13" width="11.57421875" style="0" customWidth="1"/>
    <col min="14" max="14" width="7.00390625" style="0" customWidth="1"/>
    <col min="15" max="15" width="2.7109375" style="0" customWidth="1"/>
    <col min="16" max="16" width="9.8515625" style="0" customWidth="1"/>
    <col min="17" max="18" width="9.57421875" style="0" customWidth="1"/>
    <col min="19" max="19" width="3.7109375" style="0" customWidth="1"/>
    <col min="20" max="20" width="8.00390625" style="0" customWidth="1"/>
    <col min="21" max="21" width="11.28125" style="0" customWidth="1"/>
    <col min="22" max="23" width="3.7109375" style="0" customWidth="1"/>
    <col min="24" max="24" width="4.00390625" style="0" customWidth="1"/>
    <col min="25" max="25" width="3.7109375" style="0" customWidth="1"/>
    <col min="26" max="26" width="7.140625" style="0" customWidth="1"/>
    <col min="27" max="27" width="6.7109375" style="0" customWidth="1"/>
    <col min="28" max="28" width="7.8515625" style="0" customWidth="1"/>
    <col min="29" max="29" width="9.140625" style="0" customWidth="1"/>
    <col min="30" max="30" width="8.57421875" style="0" customWidth="1"/>
    <col min="31" max="31" width="3.7109375" style="0" customWidth="1"/>
    <col min="32" max="32" width="8.28125" style="0" customWidth="1"/>
    <col min="33" max="33" width="7.28125" style="0" customWidth="1"/>
    <col min="34" max="34" width="7.7109375" style="0" customWidth="1"/>
    <col min="35" max="36" width="11.28125" style="0" customWidth="1"/>
    <col min="37" max="37" width="3.7109375" style="0" customWidth="1"/>
  </cols>
  <sheetData>
    <row r="1" ht="15.75" thickBot="1"/>
    <row r="2" spans="2:22" ht="15">
      <c r="B2" s="23"/>
      <c r="C2" s="58" t="s">
        <v>44</v>
      </c>
      <c r="D2" s="58"/>
      <c r="E2" s="58"/>
      <c r="F2" s="58"/>
      <c r="G2" s="26"/>
      <c r="H2" s="58" t="s">
        <v>27</v>
      </c>
      <c r="I2" s="59"/>
      <c r="J2" s="59"/>
      <c r="K2" s="26"/>
      <c r="L2" s="24"/>
      <c r="M2" s="24"/>
      <c r="N2" s="24"/>
      <c r="O2" s="24"/>
      <c r="P2" s="58" t="s">
        <v>41</v>
      </c>
      <c r="Q2" s="60"/>
      <c r="R2" s="60"/>
      <c r="S2" s="48"/>
      <c r="T2" s="24"/>
      <c r="U2" s="25" t="s">
        <v>29</v>
      </c>
      <c r="V2" s="27"/>
    </row>
    <row r="3" spans="2:22" ht="15">
      <c r="B3" s="28"/>
      <c r="C3" s="29" t="s">
        <v>16</v>
      </c>
      <c r="D3" s="29" t="s">
        <v>17</v>
      </c>
      <c r="E3" s="29" t="s">
        <v>22</v>
      </c>
      <c r="F3" s="29" t="s">
        <v>20</v>
      </c>
      <c r="G3" s="21"/>
      <c r="H3" s="29" t="s">
        <v>32</v>
      </c>
      <c r="I3" s="29" t="s">
        <v>33</v>
      </c>
      <c r="J3" s="29" t="s">
        <v>28</v>
      </c>
      <c r="K3" s="20"/>
      <c r="L3" s="29" t="s">
        <v>1</v>
      </c>
      <c r="M3" s="29" t="s">
        <v>24</v>
      </c>
      <c r="N3" s="29" t="s">
        <v>18</v>
      </c>
      <c r="O3" s="29"/>
      <c r="P3" s="29" t="s">
        <v>39</v>
      </c>
      <c r="Q3" s="29" t="s">
        <v>40</v>
      </c>
      <c r="R3" s="29" t="s">
        <v>26</v>
      </c>
      <c r="S3" s="20"/>
      <c r="T3" s="29" t="s">
        <v>26</v>
      </c>
      <c r="U3" s="29" t="s">
        <v>21</v>
      </c>
      <c r="V3" s="30"/>
    </row>
    <row r="4" spans="2:22" s="17" customFormat="1" ht="15.75" thickBot="1">
      <c r="B4" s="31"/>
      <c r="C4" s="18"/>
      <c r="D4" s="18"/>
      <c r="E4" s="18"/>
      <c r="F4" s="18" t="s">
        <v>19</v>
      </c>
      <c r="G4" s="20"/>
      <c r="H4" s="18" t="s">
        <v>19</v>
      </c>
      <c r="I4" s="18" t="s">
        <v>19</v>
      </c>
      <c r="J4" s="18" t="s">
        <v>19</v>
      </c>
      <c r="K4" s="20"/>
      <c r="L4" s="18"/>
      <c r="M4" s="18"/>
      <c r="N4" s="18"/>
      <c r="O4" s="18"/>
      <c r="P4" s="18" t="s">
        <v>19</v>
      </c>
      <c r="Q4" s="18" t="s">
        <v>19</v>
      </c>
      <c r="R4" s="18" t="s">
        <v>19</v>
      </c>
      <c r="S4" s="20"/>
      <c r="T4" s="18" t="s">
        <v>25</v>
      </c>
      <c r="U4" s="18"/>
      <c r="V4" s="30"/>
    </row>
    <row r="5" spans="2:22" ht="15.75" thickTop="1">
      <c r="B5" s="28"/>
      <c r="C5" s="44" t="str">
        <f>'VIC Calc 27'!$B$2</f>
        <v>AWG 27</v>
      </c>
      <c r="D5" s="55">
        <v>168.8216</v>
      </c>
      <c r="E5" s="32">
        <f>D5/1000000</f>
        <v>0.00016882159999999998</v>
      </c>
      <c r="F5" s="55">
        <v>0.36068</v>
      </c>
      <c r="G5" s="21"/>
      <c r="H5" s="55">
        <v>46</v>
      </c>
      <c r="I5" s="55">
        <v>24</v>
      </c>
      <c r="J5" s="44">
        <f>'VIC Calc 27'!$C$5</f>
        <v>5</v>
      </c>
      <c r="K5" s="21"/>
      <c r="L5" s="44">
        <f>'VIC Calc 27'!$C$3</f>
        <v>198.98074976887852</v>
      </c>
      <c r="M5" s="32">
        <f>(J5/F5)-1</f>
        <v>12.862703781745592</v>
      </c>
      <c r="N5" s="32">
        <f>L5/M5</f>
        <v>15.469589686988417</v>
      </c>
      <c r="O5" s="32">
        <f>_xlfn.FLOOR.MATH(N5)</f>
        <v>15</v>
      </c>
      <c r="P5" s="32">
        <f>INDEX(AD10:AD59,O5)</f>
        <v>24952.955424683976</v>
      </c>
      <c r="Q5" s="32">
        <f>(N5-O5)*INDEX(AC11:AC59,O5)</f>
        <v>888.7985961058391</v>
      </c>
      <c r="R5" s="32">
        <f>P5+Q5</f>
        <v>25841.754020789816</v>
      </c>
      <c r="S5" s="21"/>
      <c r="T5" s="32">
        <f>R5*E5</f>
        <v>4.362646260596169</v>
      </c>
      <c r="U5" s="32">
        <f>L5/T5</f>
        <v>45.61010402472723</v>
      </c>
      <c r="V5" s="33"/>
    </row>
    <row r="6" spans="2:22" ht="15.75" thickBot="1">
      <c r="B6" s="34"/>
      <c r="C6" s="45" t="str">
        <f>'VIC Calc 30'!$B$2</f>
        <v>AWG 30</v>
      </c>
      <c r="D6" s="56">
        <v>338.496</v>
      </c>
      <c r="E6" s="35">
        <f>D6/1000000</f>
        <v>0.000338496</v>
      </c>
      <c r="F6" s="56">
        <v>0.34798</v>
      </c>
      <c r="G6" s="36"/>
      <c r="H6" s="56">
        <v>46</v>
      </c>
      <c r="I6" s="56">
        <v>24</v>
      </c>
      <c r="J6" s="45">
        <f>'VIC Calc 30'!$C$5</f>
        <v>6.4</v>
      </c>
      <c r="K6" s="36"/>
      <c r="L6" s="45">
        <f>'VIC Calc 30'!$C$3</f>
        <v>232.44888681612412</v>
      </c>
      <c r="M6" s="35">
        <f>(J6/F6)-1</f>
        <v>17.39186160124145</v>
      </c>
      <c r="N6" s="35">
        <f>L6/M6</f>
        <v>13.365382737379399</v>
      </c>
      <c r="O6" s="35">
        <f>_xlfn.FLOOR.MATH(N6)</f>
        <v>13</v>
      </c>
      <c r="P6" s="35">
        <f>INDEX(AJ10:AJ59,O6)</f>
        <v>28622.319996180013</v>
      </c>
      <c r="Q6" s="35">
        <f>(N6-O6)*INDEX(AI11:AI59,O6)</f>
        <v>899.9595238592725</v>
      </c>
      <c r="R6" s="35">
        <f>P6+Q6</f>
        <v>29522.279520039287</v>
      </c>
      <c r="S6" s="36"/>
      <c r="T6" s="35">
        <f>R6*E6</f>
        <v>9.993173528415218</v>
      </c>
      <c r="U6" s="35">
        <f>L6/T6</f>
        <v>23.2607675785039</v>
      </c>
      <c r="V6" s="37"/>
    </row>
    <row r="7" spans="7:11" ht="15">
      <c r="G7" s="19"/>
      <c r="H7" s="19"/>
      <c r="K7" s="19"/>
    </row>
    <row r="8" spans="3:34" ht="15">
      <c r="C8" s="57" t="s">
        <v>46</v>
      </c>
      <c r="G8" s="19"/>
      <c r="H8" s="19"/>
      <c r="K8" s="19"/>
      <c r="AB8" s="17" t="str">
        <f>C5</f>
        <v>AWG 27</v>
      </c>
      <c r="AH8" s="17" t="str">
        <f>C6</f>
        <v>AWG 30</v>
      </c>
    </row>
    <row r="9" spans="7:36" s="38" customFormat="1" ht="150.75" thickBot="1">
      <c r="G9" s="39"/>
      <c r="H9" s="39"/>
      <c r="K9" s="39"/>
      <c r="X9" s="40" t="s">
        <v>23</v>
      </c>
      <c r="Y9" s="41"/>
      <c r="Z9" s="40" t="s">
        <v>34</v>
      </c>
      <c r="AA9" s="40" t="s">
        <v>35</v>
      </c>
      <c r="AB9" s="40" t="s">
        <v>30</v>
      </c>
      <c r="AC9" s="40" t="s">
        <v>37</v>
      </c>
      <c r="AD9" s="40" t="s">
        <v>38</v>
      </c>
      <c r="AE9" s="42"/>
      <c r="AF9" s="40" t="s">
        <v>34</v>
      </c>
      <c r="AG9" s="40" t="s">
        <v>35</v>
      </c>
      <c r="AH9" s="40" t="s">
        <v>30</v>
      </c>
      <c r="AI9" s="40" t="s">
        <v>37</v>
      </c>
      <c r="AJ9" s="40" t="s">
        <v>38</v>
      </c>
    </row>
    <row r="10" spans="3:36" ht="15.75" thickTop="1">
      <c r="C10" s="2" t="s">
        <v>9</v>
      </c>
      <c r="D10" s="2"/>
      <c r="E10" s="2"/>
      <c r="G10" s="19"/>
      <c r="H10" s="19"/>
      <c r="K10" s="19"/>
      <c r="X10">
        <v>1</v>
      </c>
      <c r="Z10">
        <f>H5+$F$5</f>
        <v>46.36068</v>
      </c>
      <c r="AA10">
        <f>I5+$F$5</f>
        <v>24.36068</v>
      </c>
      <c r="AB10">
        <f>EllipsePerimeter(Z10/2,AA10/2)</f>
        <v>113.79305420897371</v>
      </c>
      <c r="AC10">
        <f>$M$5*AB10</f>
        <v>1463.6863487101475</v>
      </c>
      <c r="AD10">
        <f>AC10</f>
        <v>1463.6863487101475</v>
      </c>
      <c r="AE10" s="19"/>
      <c r="AF10" s="22">
        <f>H6+$F$6</f>
        <v>46.34798</v>
      </c>
      <c r="AG10" s="22">
        <f>I6+$F$6</f>
        <v>24.34798</v>
      </c>
      <c r="AH10">
        <f>EllipsePerimeter(AF10/2,AG10/2)</f>
        <v>113.75413984765845</v>
      </c>
      <c r="AI10">
        <f>$M$6*AH10</f>
        <v>1978.3962567987412</v>
      </c>
      <c r="AJ10">
        <f>AI10</f>
        <v>1978.3962567987412</v>
      </c>
    </row>
    <row r="11" spans="3:36" ht="15">
      <c r="C11" s="43" t="s">
        <v>31</v>
      </c>
      <c r="D11" s="43"/>
      <c r="G11" s="19"/>
      <c r="H11" s="19"/>
      <c r="K11" s="19"/>
      <c r="X11">
        <f>X10+1</f>
        <v>2</v>
      </c>
      <c r="Z11">
        <f>Z10+(2*$F$5)</f>
        <v>47.08204</v>
      </c>
      <c r="AA11">
        <f>AA10+(2*$F$5)</f>
        <v>25.08204</v>
      </c>
      <c r="AB11">
        <f aca="true" t="shared" si="0" ref="AB11:AB59">EllipsePerimeter(Z11/2,AA11/2)</f>
        <v>116.00454825009378</v>
      </c>
      <c r="AC11">
        <f aca="true" t="shared" si="1" ref="AC11:AC59">$M$5*AB11</f>
        <v>1492.1321414761703</v>
      </c>
      <c r="AD11">
        <f>AD10+AC11</f>
        <v>2955.818490186318</v>
      </c>
      <c r="AE11" s="19"/>
      <c r="AF11">
        <f>AF10+(2*$F$6)</f>
        <v>47.04394</v>
      </c>
      <c r="AG11">
        <f>AG10+(2*$F$6)</f>
        <v>25.04394</v>
      </c>
      <c r="AH11">
        <f aca="true" t="shared" si="2" ref="AH11:AH59">EllipsePerimeter(AF11/2,AG11/2)</f>
        <v>115.88768817011274</v>
      </c>
      <c r="AI11">
        <f aca="true" t="shared" si="3" ref="AI11:AI59">$M$6*AH11</f>
        <v>2015.5026339424269</v>
      </c>
      <c r="AJ11">
        <f>AJ10+AI11</f>
        <v>3993.898890741168</v>
      </c>
    </row>
    <row r="12" spans="7:36" ht="15">
      <c r="G12" s="19"/>
      <c r="H12" s="19"/>
      <c r="K12" s="19"/>
      <c r="X12">
        <f aca="true" t="shared" si="4" ref="X12:X59">X11+1</f>
        <v>3</v>
      </c>
      <c r="Z12">
        <f aca="true" t="shared" si="5" ref="Z12:AA39">Z11+(2*$F$5)</f>
        <v>47.803399999999996</v>
      </c>
      <c r="AA12">
        <f t="shared" si="5"/>
        <v>25.8034</v>
      </c>
      <c r="AB12">
        <f t="shared" si="0"/>
        <v>118.2182265737749</v>
      </c>
      <c r="AC12">
        <f t="shared" si="1"/>
        <v>1520.6060300217516</v>
      </c>
      <c r="AD12">
        <f aca="true" t="shared" si="6" ref="AD12:AD29">AD11+AC12</f>
        <v>4476.424520208069</v>
      </c>
      <c r="AE12" s="19"/>
      <c r="AF12">
        <f aca="true" t="shared" si="7" ref="AF12:AG39">AF11+(2*$F$6)</f>
        <v>47.7399</v>
      </c>
      <c r="AG12">
        <f t="shared" si="7"/>
        <v>25.7399</v>
      </c>
      <c r="AH12">
        <f t="shared" si="2"/>
        <v>118.02327622063055</v>
      </c>
      <c r="AI12">
        <f t="shared" si="3"/>
        <v>2052.644485754298</v>
      </c>
      <c r="AJ12">
        <f aca="true" t="shared" si="8" ref="AJ12:AJ29">AJ11+AI12</f>
        <v>6046.543376495466</v>
      </c>
    </row>
    <row r="13" spans="7:36" ht="15">
      <c r="G13" s="19"/>
      <c r="H13" s="19"/>
      <c r="K13" s="19"/>
      <c r="X13">
        <f t="shared" si="4"/>
        <v>4</v>
      </c>
      <c r="Z13">
        <f t="shared" si="5"/>
        <v>48.52475999999999</v>
      </c>
      <c r="AA13">
        <f t="shared" si="5"/>
        <v>26.52476</v>
      </c>
      <c r="AB13">
        <f t="shared" si="0"/>
        <v>120.43396018250179</v>
      </c>
      <c r="AC13">
        <f t="shared" si="1"/>
        <v>1549.106355090064</v>
      </c>
      <c r="AD13">
        <f t="shared" si="6"/>
        <v>6025.530875298133</v>
      </c>
      <c r="AE13" s="19"/>
      <c r="AF13">
        <f t="shared" si="7"/>
        <v>48.43586</v>
      </c>
      <c r="AG13">
        <f t="shared" si="7"/>
        <v>26.435859999999998</v>
      </c>
      <c r="AH13">
        <f t="shared" si="2"/>
        <v>120.16078749331439</v>
      </c>
      <c r="AI13">
        <f t="shared" si="3"/>
        <v>2089.8197859799084</v>
      </c>
      <c r="AJ13">
        <f t="shared" si="8"/>
        <v>8136.363162475374</v>
      </c>
    </row>
    <row r="14" spans="7:36" ht="15">
      <c r="G14" s="19"/>
      <c r="H14" s="19"/>
      <c r="K14" s="19"/>
      <c r="X14">
        <f t="shared" si="4"/>
        <v>5</v>
      </c>
      <c r="Z14">
        <f t="shared" si="5"/>
        <v>49.24611999999999</v>
      </c>
      <c r="AA14">
        <f t="shared" si="5"/>
        <v>27.24612</v>
      </c>
      <c r="AB14">
        <f t="shared" si="0"/>
        <v>122.6516301012216</v>
      </c>
      <c r="AC14">
        <f t="shared" si="1"/>
        <v>1577.6315863402447</v>
      </c>
      <c r="AD14">
        <f t="shared" si="6"/>
        <v>7603.162461638378</v>
      </c>
      <c r="AE14" s="19"/>
      <c r="AF14">
        <f t="shared" si="7"/>
        <v>49.13182</v>
      </c>
      <c r="AG14">
        <f t="shared" si="7"/>
        <v>27.131819999999998</v>
      </c>
      <c r="AH14">
        <f t="shared" si="2"/>
        <v>122.300114242931</v>
      </c>
      <c r="AI14">
        <f t="shared" si="3"/>
        <v>2127.0266607290746</v>
      </c>
      <c r="AJ14">
        <f t="shared" si="8"/>
        <v>10263.389823204448</v>
      </c>
    </row>
    <row r="15" spans="7:36" ht="15">
      <c r="G15" s="19"/>
      <c r="H15" s="19"/>
      <c r="K15" s="19"/>
      <c r="X15">
        <f t="shared" si="4"/>
        <v>6</v>
      </c>
      <c r="Z15">
        <f t="shared" si="5"/>
        <v>49.96747999999999</v>
      </c>
      <c r="AA15">
        <f t="shared" si="5"/>
        <v>27.967480000000002</v>
      </c>
      <c r="AB15">
        <f t="shared" si="0"/>
        <v>124.87112641665748</v>
      </c>
      <c r="AC15">
        <f t="shared" si="1"/>
        <v>1606.180309990372</v>
      </c>
      <c r="AD15">
        <f t="shared" si="6"/>
        <v>9209.34277162875</v>
      </c>
      <c r="AE15" s="19"/>
      <c r="AF15">
        <f t="shared" si="7"/>
        <v>49.82778</v>
      </c>
      <c r="AG15">
        <f t="shared" si="7"/>
        <v>27.827779999999997</v>
      </c>
      <c r="AH15">
        <f t="shared" si="2"/>
        <v>124.44115667165308</v>
      </c>
      <c r="AI15">
        <f t="shared" si="3"/>
        <v>2164.2633743317947</v>
      </c>
      <c r="AJ15">
        <f t="shared" si="8"/>
        <v>12427.653197536243</v>
      </c>
    </row>
    <row r="16" spans="7:36" ht="15">
      <c r="G16" s="19"/>
      <c r="H16" s="19"/>
      <c r="K16" s="19"/>
      <c r="X16">
        <f t="shared" si="4"/>
        <v>7</v>
      </c>
      <c r="Z16">
        <f t="shared" si="5"/>
        <v>50.688839999999985</v>
      </c>
      <c r="AA16">
        <f t="shared" si="5"/>
        <v>28.688840000000003</v>
      </c>
      <c r="AB16">
        <f t="shared" si="0"/>
        <v>127.09234742571341</v>
      </c>
      <c r="AC16">
        <f t="shared" si="1"/>
        <v>1634.7512178636487</v>
      </c>
      <c r="AD16">
        <f t="shared" si="6"/>
        <v>10844.093989492398</v>
      </c>
      <c r="AE16" s="19"/>
      <c r="AF16">
        <f t="shared" si="7"/>
        <v>50.52374</v>
      </c>
      <c r="AG16">
        <f t="shared" si="7"/>
        <v>28.523739999999997</v>
      </c>
      <c r="AH16">
        <f t="shared" si="2"/>
        <v>126.58382220529772</v>
      </c>
      <c r="AI16">
        <f t="shared" si="3"/>
        <v>2201.5283167506923</v>
      </c>
      <c r="AJ16">
        <f t="shared" si="8"/>
        <v>14629.181514286935</v>
      </c>
    </row>
    <row r="17" spans="7:36" ht="15">
      <c r="G17" s="19"/>
      <c r="H17" s="19"/>
      <c r="K17" s="19"/>
      <c r="X17">
        <f t="shared" si="4"/>
        <v>8</v>
      </c>
      <c r="Z17">
        <f t="shared" si="5"/>
        <v>51.41019999999998</v>
      </c>
      <c r="AA17">
        <f t="shared" si="5"/>
        <v>29.410200000000003</v>
      </c>
      <c r="AB17">
        <f t="shared" si="0"/>
        <v>129.31519887869976</v>
      </c>
      <c r="AC17">
        <f t="shared" si="1"/>
        <v>1663.3430976542347</v>
      </c>
      <c r="AD17">
        <f t="shared" si="6"/>
        <v>12507.437087146633</v>
      </c>
      <c r="AE17" s="19"/>
      <c r="AF17">
        <f t="shared" si="7"/>
        <v>51.219699999999996</v>
      </c>
      <c r="AG17">
        <f t="shared" si="7"/>
        <v>29.219699999999996</v>
      </c>
      <c r="AH17">
        <f t="shared" si="2"/>
        <v>128.72802484770838</v>
      </c>
      <c r="AI17">
        <f t="shared" si="3"/>
        <v>2238.819992352515</v>
      </c>
      <c r="AJ17">
        <f t="shared" si="8"/>
        <v>16868.001506639448</v>
      </c>
    </row>
    <row r="18" spans="7:36" ht="15">
      <c r="G18" s="19"/>
      <c r="H18" s="19"/>
      <c r="K18" s="19"/>
      <c r="X18">
        <f t="shared" si="4"/>
        <v>9</v>
      </c>
      <c r="Z18">
        <f t="shared" si="5"/>
        <v>52.13155999999998</v>
      </c>
      <c r="AA18">
        <f t="shared" si="5"/>
        <v>30.131560000000004</v>
      </c>
      <c r="AB18">
        <f t="shared" si="0"/>
        <v>131.53959330521502</v>
      </c>
      <c r="AC18">
        <f t="shared" si="1"/>
        <v>1691.9548242562664</v>
      </c>
      <c r="AD18">
        <f t="shared" si="6"/>
        <v>14199.3919114029</v>
      </c>
      <c r="AE18" s="19"/>
      <c r="AF18">
        <f t="shared" si="7"/>
        <v>51.915659999999995</v>
      </c>
      <c r="AG18">
        <f t="shared" si="7"/>
        <v>29.915659999999995</v>
      </c>
      <c r="AH18">
        <f t="shared" si="2"/>
        <v>130.87368460355222</v>
      </c>
      <c r="AI18">
        <f t="shared" si="3"/>
        <v>2276.1370098695043</v>
      </c>
      <c r="AJ18">
        <f t="shared" si="8"/>
        <v>19144.138516508952</v>
      </c>
    </row>
    <row r="19" spans="7:36" ht="15">
      <c r="G19" s="19"/>
      <c r="H19" s="19"/>
      <c r="X19">
        <f t="shared" si="4"/>
        <v>10</v>
      </c>
      <c r="Z19">
        <f t="shared" si="5"/>
        <v>52.852919999999976</v>
      </c>
      <c r="AA19">
        <f t="shared" si="5"/>
        <v>30.852920000000005</v>
      </c>
      <c r="AB19">
        <f t="shared" si="0"/>
        <v>133.76544941228002</v>
      </c>
      <c r="AC19">
        <f t="shared" si="1"/>
        <v>1720.5853520222329</v>
      </c>
      <c r="AD19">
        <f t="shared" si="6"/>
        <v>15919.977263425133</v>
      </c>
      <c r="AE19" s="19"/>
      <c r="AF19">
        <f t="shared" si="7"/>
        <v>52.611619999999995</v>
      </c>
      <c r="AG19">
        <f t="shared" si="7"/>
        <v>30.611619999999995</v>
      </c>
      <c r="AH19">
        <f t="shared" si="2"/>
        <v>133.02072696117463</v>
      </c>
      <c r="AI19">
        <f t="shared" si="3"/>
        <v>2313.4780734052765</v>
      </c>
      <c r="AJ19">
        <f t="shared" si="8"/>
        <v>21457.61658991423</v>
      </c>
    </row>
    <row r="20" spans="24:36" ht="15">
      <c r="X20">
        <f t="shared" si="4"/>
        <v>11</v>
      </c>
      <c r="Z20">
        <f t="shared" si="5"/>
        <v>53.57427999999997</v>
      </c>
      <c r="AA20">
        <f t="shared" si="5"/>
        <v>31.574280000000005</v>
      </c>
      <c r="AB20">
        <f t="shared" si="0"/>
        <v>135.99269154580122</v>
      </c>
      <c r="AC20">
        <f t="shared" si="1"/>
        <v>1749.2337078359392</v>
      </c>
      <c r="AD20">
        <f t="shared" si="6"/>
        <v>17669.210971261073</v>
      </c>
      <c r="AE20" s="19"/>
      <c r="AF20">
        <f t="shared" si="7"/>
        <v>53.307579999999994</v>
      </c>
      <c r="AG20">
        <f t="shared" si="7"/>
        <v>31.307579999999994</v>
      </c>
      <c r="AH20">
        <f t="shared" si="2"/>
        <v>135.1690824283047</v>
      </c>
      <c r="AI20">
        <f t="shared" si="3"/>
        <v>2350.8419743598733</v>
      </c>
      <c r="AJ20">
        <f t="shared" si="8"/>
        <v>23808.4585642741</v>
      </c>
    </row>
    <row r="21" spans="24:36" ht="15">
      <c r="X21">
        <f t="shared" si="4"/>
        <v>12</v>
      </c>
      <c r="Z21">
        <f t="shared" si="5"/>
        <v>54.29563999999997</v>
      </c>
      <c r="AA21">
        <f t="shared" si="5"/>
        <v>32.295640000000006</v>
      </c>
      <c r="AB21">
        <f t="shared" si="0"/>
        <v>138.2212492076829</v>
      </c>
      <c r="AC21">
        <f t="shared" si="1"/>
        <v>1777.8989849012626</v>
      </c>
      <c r="AD21">
        <f t="shared" si="6"/>
        <v>19447.109956162334</v>
      </c>
      <c r="AE21" s="19"/>
      <c r="AF21">
        <f t="shared" si="7"/>
        <v>54.003539999999994</v>
      </c>
      <c r="AG21">
        <f t="shared" si="7"/>
        <v>32.003539999999994</v>
      </c>
      <c r="AH21">
        <f t="shared" si="2"/>
        <v>137.31868611438338</v>
      </c>
      <c r="AI21">
        <f t="shared" si="3"/>
        <v>2388.227584165672</v>
      </c>
      <c r="AJ21">
        <f t="shared" si="8"/>
        <v>26196.686148439774</v>
      </c>
    </row>
    <row r="22" spans="24:36" ht="15">
      <c r="X22">
        <f t="shared" si="4"/>
        <v>13</v>
      </c>
      <c r="Z22" s="50">
        <f t="shared" si="5"/>
        <v>55.01699999999997</v>
      </c>
      <c r="AA22" s="50">
        <f t="shared" si="5"/>
        <v>33.017</v>
      </c>
      <c r="AB22">
        <f t="shared" si="0"/>
        <v>140.45105662195914</v>
      </c>
      <c r="AC22">
        <f t="shared" si="1"/>
        <v>1806.5803371614381</v>
      </c>
      <c r="AD22">
        <f t="shared" si="6"/>
        <v>21253.690293323772</v>
      </c>
      <c r="AE22" s="19"/>
      <c r="AF22">
        <f t="shared" si="7"/>
        <v>54.69949999999999</v>
      </c>
      <c r="AG22">
        <f t="shared" si="7"/>
        <v>32.69949999999999</v>
      </c>
      <c r="AH22">
        <f t="shared" si="2"/>
        <v>139.4694773541145</v>
      </c>
      <c r="AI22">
        <f t="shared" si="3"/>
        <v>2425.6338477402383</v>
      </c>
      <c r="AJ22">
        <f t="shared" si="8"/>
        <v>28622.319996180013</v>
      </c>
    </row>
    <row r="23" spans="24:36" ht="15">
      <c r="X23">
        <f t="shared" si="4"/>
        <v>14</v>
      </c>
      <c r="Z23" s="50">
        <f t="shared" si="5"/>
        <v>55.738359999999965</v>
      </c>
      <c r="AA23" s="50">
        <f t="shared" si="5"/>
        <v>33.73836</v>
      </c>
      <c r="AB23">
        <f t="shared" si="0"/>
        <v>142.6820523442115</v>
      </c>
      <c r="AC23">
        <f t="shared" si="1"/>
        <v>1835.276974275112</v>
      </c>
      <c r="AD23">
        <f t="shared" si="6"/>
        <v>23088.967267598884</v>
      </c>
      <c r="AE23" s="19"/>
      <c r="AF23">
        <f t="shared" si="7"/>
        <v>55.39545999999999</v>
      </c>
      <c r="AG23">
        <f t="shared" si="7"/>
        <v>33.39545999999999</v>
      </c>
      <c r="AH23">
        <f t="shared" si="2"/>
        <v>141.62139936754716</v>
      </c>
      <c r="AI23">
        <f t="shared" si="3"/>
        <v>2463.0597775745237</v>
      </c>
      <c r="AJ23">
        <f t="shared" si="8"/>
        <v>31085.379773754536</v>
      </c>
    </row>
    <row r="24" spans="24:36" ht="15">
      <c r="X24">
        <f t="shared" si="4"/>
        <v>15</v>
      </c>
      <c r="Z24" s="50">
        <f t="shared" si="5"/>
        <v>56.45971999999996</v>
      </c>
      <c r="AA24" s="50">
        <f t="shared" si="5"/>
        <v>34.45972</v>
      </c>
      <c r="AB24">
        <f t="shared" si="0"/>
        <v>144.9141789092909</v>
      </c>
      <c r="AC24">
        <f t="shared" si="1"/>
        <v>1863.9881570850935</v>
      </c>
      <c r="AD24">
        <f t="shared" si="6"/>
        <v>24952.955424683976</v>
      </c>
      <c r="AE24" s="19"/>
      <c r="AF24">
        <f t="shared" si="7"/>
        <v>56.09141999999999</v>
      </c>
      <c r="AG24">
        <f t="shared" si="7"/>
        <v>34.09141999999999</v>
      </c>
      <c r="AH24">
        <f t="shared" si="2"/>
        <v>143.77439895259843</v>
      </c>
      <c r="AI24">
        <f t="shared" si="3"/>
        <v>2500.5044483852657</v>
      </c>
      <c r="AJ24">
        <f t="shared" si="8"/>
        <v>33585.8842221398</v>
      </c>
    </row>
    <row r="25" spans="24:36" ht="15">
      <c r="X25">
        <f t="shared" si="4"/>
        <v>16</v>
      </c>
      <c r="Z25" s="50">
        <f t="shared" si="5"/>
        <v>57.18107999999996</v>
      </c>
      <c r="AA25" s="50">
        <f t="shared" si="5"/>
        <v>35.181079999999994</v>
      </c>
      <c r="AB25">
        <f t="shared" si="0"/>
        <v>147.14738251301472</v>
      </c>
      <c r="AC25">
        <f t="shared" si="1"/>
        <v>1892.7131935241198</v>
      </c>
      <c r="AD25">
        <f t="shared" si="6"/>
        <v>26845.668618208096</v>
      </c>
      <c r="AE25" s="19"/>
      <c r="AF25">
        <f t="shared" si="7"/>
        <v>56.78737999999999</v>
      </c>
      <c r="AG25">
        <f t="shared" si="7"/>
        <v>34.78737999999999</v>
      </c>
      <c r="AH25">
        <f t="shared" si="2"/>
        <v>145.9284262064465</v>
      </c>
      <c r="AI25">
        <f t="shared" si="3"/>
        <v>2537.9669922694934</v>
      </c>
      <c r="AJ25">
        <f t="shared" si="8"/>
        <v>36123.8512144093</v>
      </c>
    </row>
    <row r="26" spans="24:36" ht="15">
      <c r="X26">
        <f t="shared" si="4"/>
        <v>17</v>
      </c>
      <c r="Z26" s="50">
        <f t="shared" si="5"/>
        <v>57.902439999999956</v>
      </c>
      <c r="AA26" s="50">
        <f t="shared" si="5"/>
        <v>35.90243999999999</v>
      </c>
      <c r="AB26">
        <f t="shared" si="0"/>
        <v>149.38161272405947</v>
      </c>
      <c r="AC26">
        <f t="shared" si="1"/>
        <v>1921.4514349090152</v>
      </c>
      <c r="AD26">
        <f t="shared" si="6"/>
        <v>28767.120053117113</v>
      </c>
      <c r="AE26" s="19"/>
      <c r="AF26">
        <f t="shared" si="7"/>
        <v>57.48333999999999</v>
      </c>
      <c r="AG26">
        <f t="shared" si="7"/>
        <v>35.48333999999999</v>
      </c>
      <c r="AH26">
        <f t="shared" si="2"/>
        <v>148.0834342726663</v>
      </c>
      <c r="AI26">
        <f t="shared" si="3"/>
        <v>2575.446594306747</v>
      </c>
      <c r="AJ26">
        <f t="shared" si="8"/>
        <v>38699.297808716045</v>
      </c>
    </row>
    <row r="27" spans="24:36" ht="15">
      <c r="X27">
        <f t="shared" si="4"/>
        <v>18</v>
      </c>
      <c r="Z27" s="50">
        <f t="shared" si="5"/>
        <v>58.62379999999995</v>
      </c>
      <c r="AA27" s="50">
        <f t="shared" si="5"/>
        <v>36.62379999999999</v>
      </c>
      <c r="AB27">
        <f t="shared" si="0"/>
        <v>151.6168222227465</v>
      </c>
      <c r="AC27">
        <f t="shared" si="1"/>
        <v>1950.2022725807706</v>
      </c>
      <c r="AD27">
        <f t="shared" si="6"/>
        <v>30717.32232569788</v>
      </c>
      <c r="AE27" s="19"/>
      <c r="AF27">
        <f t="shared" si="7"/>
        <v>58.17929999999999</v>
      </c>
      <c r="AG27">
        <f t="shared" si="7"/>
        <v>36.17929999999999</v>
      </c>
      <c r="AH27">
        <f t="shared" si="2"/>
        <v>150.23937911136258</v>
      </c>
      <c r="AI27">
        <f t="shared" si="3"/>
        <v>2612.942488561264</v>
      </c>
      <c r="AJ27">
        <f t="shared" si="8"/>
        <v>41312.240297277305</v>
      </c>
    </row>
    <row r="28" spans="24:36" ht="15">
      <c r="X28">
        <f t="shared" si="4"/>
        <v>19</v>
      </c>
      <c r="Z28" s="50">
        <f t="shared" si="5"/>
        <v>59.34515999999995</v>
      </c>
      <c r="AA28" s="50">
        <f t="shared" si="5"/>
        <v>37.345159999999986</v>
      </c>
      <c r="AB28">
        <f t="shared" si="0"/>
        <v>153.852966563824</v>
      </c>
      <c r="AC28">
        <f t="shared" si="1"/>
        <v>1978.965134853277</v>
      </c>
      <c r="AD28">
        <f t="shared" si="6"/>
        <v>32696.28746055116</v>
      </c>
      <c r="AE28" s="19"/>
      <c r="AF28">
        <f t="shared" si="7"/>
        <v>58.87525999999999</v>
      </c>
      <c r="AG28">
        <f t="shared" si="7"/>
        <v>36.87525999999999</v>
      </c>
      <c r="AH28">
        <f t="shared" si="2"/>
        <v>152.39621928988802</v>
      </c>
      <c r="AI28">
        <f t="shared" si="3"/>
        <v>2650.4539544421755</v>
      </c>
      <c r="AJ28">
        <f t="shared" si="8"/>
        <v>43962.694251719484</v>
      </c>
    </row>
    <row r="29" spans="24:36" ht="15">
      <c r="X29">
        <f t="shared" si="4"/>
        <v>20</v>
      </c>
      <c r="Z29" s="50">
        <f t="shared" si="5"/>
        <v>60.06651999999995</v>
      </c>
      <c r="AA29" s="50">
        <f t="shared" si="5"/>
        <v>38.06651999999998</v>
      </c>
      <c r="AB29">
        <f t="shared" si="0"/>
        <v>156.09000396070482</v>
      </c>
      <c r="AC29">
        <f t="shared" si="1"/>
        <v>2007.7394842380425</v>
      </c>
      <c r="AD29">
        <f t="shared" si="6"/>
        <v>34704.026944789206</v>
      </c>
      <c r="AE29" s="19"/>
      <c r="AF29" s="51">
        <f t="shared" si="7"/>
        <v>59.57121999999999</v>
      </c>
      <c r="AG29" s="52">
        <f t="shared" si="7"/>
        <v>37.57121999999999</v>
      </c>
      <c r="AH29">
        <f t="shared" si="2"/>
        <v>154.55391579201827</v>
      </c>
      <c r="AI29">
        <f t="shared" si="3"/>
        <v>2687.9803133847076</v>
      </c>
      <c r="AJ29">
        <f t="shared" si="8"/>
        <v>46650.67456510419</v>
      </c>
    </row>
    <row r="30" spans="24:36" ht="15">
      <c r="X30">
        <f t="shared" si="4"/>
        <v>21</v>
      </c>
      <c r="Z30" s="50">
        <f t="shared" si="5"/>
        <v>60.787879999999944</v>
      </c>
      <c r="AA30" s="50">
        <f t="shared" si="5"/>
        <v>38.78787999999998</v>
      </c>
      <c r="AB30">
        <f t="shared" si="0"/>
        <v>158.32789508891892</v>
      </c>
      <c r="AC30">
        <f t="shared" si="1"/>
        <v>2036.5248149160568</v>
      </c>
      <c r="AD30">
        <f aca="true" t="shared" si="9" ref="AD30:AD39">AD29+AC30</f>
        <v>36740.55175970526</v>
      </c>
      <c r="AE30" s="19"/>
      <c r="AF30" s="51">
        <f t="shared" si="7"/>
        <v>60.26717999999999</v>
      </c>
      <c r="AG30" s="51">
        <f t="shared" si="7"/>
        <v>38.26717999999999</v>
      </c>
      <c r="AH30">
        <f t="shared" si="2"/>
        <v>156.7124318437058</v>
      </c>
      <c r="AI30">
        <f t="shared" si="3"/>
        <v>2725.5209258197146</v>
      </c>
      <c r="AJ30">
        <f aca="true" t="shared" si="10" ref="AJ30:AJ39">AJ29+AI30</f>
        <v>49376.19549092391</v>
      </c>
    </row>
    <row r="31" spans="24:36" ht="15">
      <c r="X31">
        <f t="shared" si="4"/>
        <v>22</v>
      </c>
      <c r="Z31" s="50">
        <f t="shared" si="5"/>
        <v>61.50923999999994</v>
      </c>
      <c r="AA31" s="50">
        <f t="shared" si="5"/>
        <v>39.50923999999998</v>
      </c>
      <c r="AB31">
        <f t="shared" si="0"/>
        <v>160.56660290680827</v>
      </c>
      <c r="AC31">
        <f t="shared" si="1"/>
        <v>2065.3206504314458</v>
      </c>
      <c r="AD31">
        <f t="shared" si="9"/>
        <v>38805.872410136704</v>
      </c>
      <c r="AE31" s="19"/>
      <c r="AF31" s="51">
        <f t="shared" si="7"/>
        <v>60.96313999999999</v>
      </c>
      <c r="AG31" s="51">
        <f t="shared" si="7"/>
        <v>38.96313999999999</v>
      </c>
      <c r="AH31">
        <f t="shared" si="2"/>
        <v>158.87173275374911</v>
      </c>
      <c r="AI31">
        <f t="shared" si="3"/>
        <v>2763.075188402623</v>
      </c>
      <c r="AJ31">
        <f t="shared" si="10"/>
        <v>52139.27067932653</v>
      </c>
    </row>
    <row r="32" spans="24:36" ht="15">
      <c r="X32">
        <f t="shared" si="4"/>
        <v>23</v>
      </c>
      <c r="Z32" s="50">
        <f t="shared" si="5"/>
        <v>62.23059999999994</v>
      </c>
      <c r="AA32" s="50">
        <f t="shared" si="5"/>
        <v>40.230599999999974</v>
      </c>
      <c r="AB32">
        <f t="shared" si="0"/>
        <v>162.8060924917177</v>
      </c>
      <c r="AC32">
        <f t="shared" si="1"/>
        <v>2094.12654158444</v>
      </c>
      <c r="AD32">
        <f t="shared" si="9"/>
        <v>40899.99895172114</v>
      </c>
      <c r="AE32" s="19"/>
      <c r="AF32" s="51">
        <f t="shared" si="7"/>
        <v>61.65909999999999</v>
      </c>
      <c r="AG32" s="51">
        <f t="shared" si="7"/>
        <v>39.65909999999999</v>
      </c>
      <c r="AH32">
        <f t="shared" si="2"/>
        <v>161.0317857679051</v>
      </c>
      <c r="AI32">
        <f t="shared" si="3"/>
        <v>2800.642531476168</v>
      </c>
      <c r="AJ32">
        <f t="shared" si="10"/>
        <v>54939.9132108027</v>
      </c>
    </row>
    <row r="33" spans="24:36" ht="15">
      <c r="X33">
        <f t="shared" si="4"/>
        <v>24</v>
      </c>
      <c r="Z33" s="50">
        <f t="shared" si="5"/>
        <v>62.951959999999936</v>
      </c>
      <c r="AA33" s="50">
        <f t="shared" si="5"/>
        <v>40.95195999999997</v>
      </c>
      <c r="AB33">
        <f t="shared" si="0"/>
        <v>165.04633089013694</v>
      </c>
      <c r="AC33">
        <f t="shared" si="1"/>
        <v>2122.942064503799</v>
      </c>
      <c r="AD33">
        <f t="shared" si="9"/>
        <v>43022.94101622494</v>
      </c>
      <c r="AE33" s="19"/>
      <c r="AF33" s="51">
        <f t="shared" si="7"/>
        <v>62.35505999999999</v>
      </c>
      <c r="AG33" s="51">
        <f t="shared" si="7"/>
        <v>40.35505999999999</v>
      </c>
      <c r="AH33">
        <f t="shared" si="2"/>
        <v>163.19255993513352</v>
      </c>
      <c r="AI33">
        <f t="shared" si="3"/>
        <v>2838.2224167441427</v>
      </c>
      <c r="AJ33">
        <f t="shared" si="10"/>
        <v>57778.13562754684</v>
      </c>
    </row>
    <row r="34" spans="24:36" ht="15">
      <c r="X34">
        <f t="shared" si="4"/>
        <v>25</v>
      </c>
      <c r="Z34" s="50">
        <f t="shared" si="5"/>
        <v>63.67331999999993</v>
      </c>
      <c r="AA34" s="50">
        <f t="shared" si="5"/>
        <v>41.67331999999997</v>
      </c>
      <c r="AB34">
        <f t="shared" si="0"/>
        <v>167.287286980422</v>
      </c>
      <c r="AC34">
        <f t="shared" si="1"/>
        <v>2151.7668188810344</v>
      </c>
      <c r="AD34">
        <f t="shared" si="9"/>
        <v>45174.707835105975</v>
      </c>
      <c r="AE34" s="19"/>
      <c r="AF34" s="51">
        <f t="shared" si="7"/>
        <v>63.05101999999999</v>
      </c>
      <c r="AG34" s="51">
        <f t="shared" si="7"/>
        <v>41.05101999999999</v>
      </c>
      <c r="AH34">
        <f t="shared" si="2"/>
        <v>165.35402598480965</v>
      </c>
      <c r="AI34">
        <f t="shared" si="3"/>
        <v>2875.814335135892</v>
      </c>
      <c r="AJ34">
        <f t="shared" si="10"/>
        <v>60653.94996268273</v>
      </c>
    </row>
    <row r="35" spans="24:36" ht="15">
      <c r="X35">
        <f t="shared" si="4"/>
        <v>26</v>
      </c>
      <c r="Z35" s="50">
        <f t="shared" si="5"/>
        <v>64.39467999999994</v>
      </c>
      <c r="AA35" s="50">
        <f t="shared" si="5"/>
        <v>42.394679999999966</v>
      </c>
      <c r="AB35">
        <f t="shared" si="0"/>
        <v>169.52893134687838</v>
      </c>
      <c r="AC35">
        <f t="shared" si="1"/>
        <v>2180.6004263507816</v>
      </c>
      <c r="AD35">
        <f t="shared" si="9"/>
        <v>47355.308261456754</v>
      </c>
      <c r="AE35" s="19"/>
      <c r="AF35" s="51">
        <f t="shared" si="7"/>
        <v>63.746979999999986</v>
      </c>
      <c r="AG35" s="51">
        <f t="shared" si="7"/>
        <v>41.746979999999986</v>
      </c>
      <c r="AH35">
        <f t="shared" si="2"/>
        <v>167.5161562138666</v>
      </c>
      <c r="AI35">
        <f t="shared" si="3"/>
        <v>2913.417804843511</v>
      </c>
      <c r="AJ35">
        <f t="shared" si="10"/>
        <v>63567.367767526244</v>
      </c>
    </row>
    <row r="36" spans="24:36" ht="15">
      <c r="X36">
        <f t="shared" si="4"/>
        <v>27</v>
      </c>
      <c r="Z36" s="50">
        <f t="shared" si="5"/>
        <v>65.11603999999994</v>
      </c>
      <c r="AA36" s="50">
        <f t="shared" si="5"/>
        <v>43.11603999999996</v>
      </c>
      <c r="AB36">
        <f t="shared" si="0"/>
        <v>171.77123616411853</v>
      </c>
      <c r="AC36">
        <f t="shared" si="1"/>
        <v>2209.4425290033228</v>
      </c>
      <c r="AD36">
        <f t="shared" si="9"/>
        <v>49564.75079046008</v>
      </c>
      <c r="AE36" s="19"/>
      <c r="AF36" s="51">
        <f t="shared" si="7"/>
        <v>64.44294</v>
      </c>
      <c r="AG36" s="51">
        <f t="shared" si="7"/>
        <v>42.442939999999986</v>
      </c>
      <c r="AH36">
        <f t="shared" si="2"/>
        <v>169.67892438293947</v>
      </c>
      <c r="AI36">
        <f t="shared" si="3"/>
        <v>2951.0323695155967</v>
      </c>
      <c r="AJ36">
        <f t="shared" si="10"/>
        <v>66518.40013704184</v>
      </c>
    </row>
    <row r="37" spans="24:36" ht="15">
      <c r="X37">
        <f t="shared" si="4"/>
        <v>28</v>
      </c>
      <c r="Z37" s="50">
        <f t="shared" si="5"/>
        <v>65.83739999999995</v>
      </c>
      <c r="AA37" s="50">
        <f t="shared" si="5"/>
        <v>43.83739999999996</v>
      </c>
      <c r="AB37">
        <f t="shared" si="0"/>
        <v>174.0141750907285</v>
      </c>
      <c r="AC37">
        <f t="shared" si="1"/>
        <v>2238.292788016853</v>
      </c>
      <c r="AD37">
        <f t="shared" si="9"/>
        <v>51803.04357847693</v>
      </c>
      <c r="AE37" s="19"/>
      <c r="AF37" s="51">
        <f t="shared" si="7"/>
        <v>65.13889999999999</v>
      </c>
      <c r="AG37" s="51">
        <f t="shared" si="7"/>
        <v>43.138899999999985</v>
      </c>
      <c r="AH37">
        <f t="shared" si="2"/>
        <v>171.8423056206829</v>
      </c>
      <c r="AI37">
        <f t="shared" si="3"/>
        <v>2988.6575965931534</v>
      </c>
      <c r="AJ37">
        <f t="shared" si="10"/>
        <v>69507.057733635</v>
      </c>
    </row>
    <row r="38" spans="24:36" ht="15">
      <c r="X38">
        <f t="shared" si="4"/>
        <v>29</v>
      </c>
      <c r="Z38" s="50">
        <f t="shared" si="5"/>
        <v>66.55875999999995</v>
      </c>
      <c r="AA38" s="50">
        <f t="shared" si="5"/>
        <v>44.55875999999996</v>
      </c>
      <c r="AB38">
        <f t="shared" si="0"/>
        <v>176.25772317137609</v>
      </c>
      <c r="AC38">
        <f t="shared" si="1"/>
        <v>2267.1508823983268</v>
      </c>
      <c r="AD38">
        <f t="shared" si="9"/>
        <v>54070.19446087525</v>
      </c>
      <c r="AE38" s="19"/>
      <c r="AF38" s="51">
        <f t="shared" si="7"/>
        <v>65.83485999999999</v>
      </c>
      <c r="AG38" s="51">
        <f t="shared" si="7"/>
        <v>43.834859999999985</v>
      </c>
      <c r="AH38">
        <f t="shared" si="2"/>
        <v>174.00627633551858</v>
      </c>
      <c r="AI38">
        <f t="shared" si="3"/>
        <v>3026.2930757747145</v>
      </c>
      <c r="AJ38">
        <f t="shared" si="10"/>
        <v>72533.3508094097</v>
      </c>
    </row>
    <row r="39" spans="24:36" ht="15">
      <c r="X39">
        <f t="shared" si="4"/>
        <v>30</v>
      </c>
      <c r="Z39" s="50">
        <f t="shared" si="5"/>
        <v>67.28011999999995</v>
      </c>
      <c r="AA39" s="50">
        <f t="shared" si="5"/>
        <v>45.280119999999954</v>
      </c>
      <c r="AB39">
        <f t="shared" si="0"/>
        <v>178.5018567465885</v>
      </c>
      <c r="AC39">
        <f t="shared" si="1"/>
        <v>2296.016507822954</v>
      </c>
      <c r="AD39">
        <f t="shared" si="9"/>
        <v>56366.21096869821</v>
      </c>
      <c r="AE39" s="19"/>
      <c r="AF39" s="51">
        <f t="shared" si="7"/>
        <v>66.53081999999999</v>
      </c>
      <c r="AG39" s="51">
        <f t="shared" si="7"/>
        <v>44.530819999999984</v>
      </c>
      <c r="AH39">
        <f t="shared" si="2"/>
        <v>176.1708141341461</v>
      </c>
      <c r="AI39">
        <f t="shared" si="3"/>
        <v>3063.9384175991004</v>
      </c>
      <c r="AJ39">
        <f t="shared" si="10"/>
        <v>75597.2892270088</v>
      </c>
    </row>
    <row r="40" spans="24:36" ht="15">
      <c r="X40">
        <f t="shared" si="4"/>
        <v>31</v>
      </c>
      <c r="Z40" s="50">
        <f>Z39+(2*$F$5)</f>
        <v>68.00147999999996</v>
      </c>
      <c r="AA40" s="50">
        <f>AA39+(2*$F$5)</f>
        <v>46.00147999999995</v>
      </c>
      <c r="AB40">
        <f t="shared" si="0"/>
        <v>180.74655336950428</v>
      </c>
      <c r="AC40">
        <f t="shared" si="1"/>
        <v>2324.8893755634044</v>
      </c>
      <c r="AD40">
        <f aca="true" t="shared" si="11" ref="AD40:AD59">AD39+AC40</f>
        <v>58691.10034426161</v>
      </c>
      <c r="AE40" s="19"/>
      <c r="AF40" s="51">
        <f>AF39+(2*$F$6)</f>
        <v>67.22677999999999</v>
      </c>
      <c r="AG40" s="51">
        <f>AG39+(2*$F$6)</f>
        <v>45.226779999999984</v>
      </c>
      <c r="AH40">
        <f t="shared" si="2"/>
        <v>178.33589774621942</v>
      </c>
      <c r="AI40">
        <f t="shared" si="3"/>
        <v>3101.5932521353952</v>
      </c>
      <c r="AJ40">
        <f aca="true" t="shared" si="12" ref="AJ40:AJ59">AJ39+AI40</f>
        <v>78698.8824791442</v>
      </c>
    </row>
    <row r="41" spans="24:36" ht="15">
      <c r="X41">
        <f t="shared" si="4"/>
        <v>32</v>
      </c>
      <c r="Z41" s="50">
        <f>Z40+(2*$F$5)</f>
        <v>68.72283999999996</v>
      </c>
      <c r="AA41" s="50">
        <f>AA40+(2*$F$5)</f>
        <v>46.72283999999995</v>
      </c>
      <c r="AB41">
        <f t="shared" si="0"/>
        <v>182.99179172897874</v>
      </c>
      <c r="AC41">
        <f t="shared" si="1"/>
        <v>2353.7692115007367</v>
      </c>
      <c r="AD41">
        <f t="shared" si="11"/>
        <v>61044.86955576235</v>
      </c>
      <c r="AE41" s="19"/>
      <c r="AF41" s="51">
        <f>AF40+(2*$F$6)</f>
        <v>67.92273999999999</v>
      </c>
      <c r="AG41" s="51">
        <f>AG40+(2*$F$6)</f>
        <v>45.92273999999998</v>
      </c>
      <c r="AH41">
        <f t="shared" si="2"/>
        <v>180.50150695464873</v>
      </c>
      <c r="AI41">
        <f t="shared" si="3"/>
        <v>3139.2572277707723</v>
      </c>
      <c r="AJ41">
        <f t="shared" si="12"/>
        <v>81838.13970691497</v>
      </c>
    </row>
    <row r="42" spans="24:36" ht="15">
      <c r="X42">
        <f t="shared" si="4"/>
        <v>33</v>
      </c>
      <c r="Z42" s="50">
        <f>Z41+(2*$F$5)</f>
        <v>69.44419999999997</v>
      </c>
      <c r="AA42" s="50">
        <f>AA41+(2*$F$5)</f>
        <v>47.444199999999945</v>
      </c>
      <c r="AB42">
        <f t="shared" si="0"/>
        <v>185.2375515784801</v>
      </c>
      <c r="AC42">
        <f t="shared" si="1"/>
        <v>2382.65575520981</v>
      </c>
      <c r="AD42">
        <f t="shared" si="11"/>
        <v>63427.52531097216</v>
      </c>
      <c r="AE42" s="19"/>
      <c r="AF42" s="51">
        <f>AF41+(2*$F$6)</f>
        <v>68.61869999999999</v>
      </c>
      <c r="AG42" s="51">
        <f>AG41+(2*$F$6)</f>
        <v>46.61869999999998</v>
      </c>
      <c r="AH42">
        <f t="shared" si="2"/>
        <v>182.667622531043</v>
      </c>
      <c r="AI42">
        <f t="shared" si="3"/>
        <v>3176.930010087715</v>
      </c>
      <c r="AJ42">
        <f t="shared" si="12"/>
        <v>85015.06971700268</v>
      </c>
    </row>
    <row r="43" spans="24:36" ht="15">
      <c r="X43">
        <f t="shared" si="4"/>
        <v>34</v>
      </c>
      <c r="Z43" s="50">
        <f>Z42+(2*$F$5)</f>
        <v>70.16555999999997</v>
      </c>
      <c r="AA43" s="50">
        <f>AA42+(2*$F$5)</f>
        <v>48.16555999999994</v>
      </c>
      <c r="AB43">
        <f t="shared" si="0"/>
        <v>187.48381367027588</v>
      </c>
      <c r="AC43">
        <f t="shared" si="1"/>
        <v>2411.5487591127435</v>
      </c>
      <c r="AD43">
        <f t="shared" si="11"/>
        <v>65839.0740700849</v>
      </c>
      <c r="AE43" s="19"/>
      <c r="AF43" s="51">
        <f>AF42+(2*$F$6)</f>
        <v>69.31465999999999</v>
      </c>
      <c r="AG43" s="51">
        <f>AG42+(2*$F$6)</f>
        <v>47.31465999999998</v>
      </c>
      <c r="AH43">
        <f t="shared" si="2"/>
        <v>184.83422617585572</v>
      </c>
      <c r="AI43">
        <f t="shared" si="3"/>
        <v>3214.6112808230428</v>
      </c>
      <c r="AJ43">
        <f t="shared" si="12"/>
        <v>88229.68099782572</v>
      </c>
    </row>
    <row r="44" spans="24:36" ht="15">
      <c r="X44">
        <f t="shared" si="4"/>
        <v>35</v>
      </c>
      <c r="Z44" s="50">
        <f>Z43+(2*$F$5)</f>
        <v>70.88691999999998</v>
      </c>
      <c r="AA44" s="50">
        <f>AA43+(2*$F$5)</f>
        <v>48.88691999999994</v>
      </c>
      <c r="AB44">
        <f t="shared" si="0"/>
        <v>189.73055969445213</v>
      </c>
      <c r="AC44">
        <f t="shared" si="1"/>
        <v>2440.4479876945375</v>
      </c>
      <c r="AD44">
        <f t="shared" si="11"/>
        <v>68279.52205777944</v>
      </c>
      <c r="AE44" s="19"/>
      <c r="AF44" s="51">
        <f>AF43+(2*$F$6)</f>
        <v>70.01061999999999</v>
      </c>
      <c r="AG44" s="51">
        <f>AG43+(2*$F$6)</f>
        <v>48.01061999999998</v>
      </c>
      <c r="AH44">
        <f t="shared" si="2"/>
        <v>187.00130046283624</v>
      </c>
      <c r="AI44">
        <f t="shared" si="3"/>
        <v>3252.300736901817</v>
      </c>
      <c r="AJ44">
        <f t="shared" si="12"/>
        <v>91481.98173472754</v>
      </c>
    </row>
    <row r="45" spans="24:36" ht="15">
      <c r="X45">
        <f t="shared" si="4"/>
        <v>36</v>
      </c>
      <c r="Z45" s="50">
        <f>Z44+(2*$F$5)</f>
        <v>71.60827999999998</v>
      </c>
      <c r="AA45" s="50">
        <f>AA44+(2*$F$5)</f>
        <v>49.60827999999994</v>
      </c>
      <c r="AB45">
        <f t="shared" si="0"/>
        <v>191.9777722223572</v>
      </c>
      <c r="AC45">
        <f t="shared" si="1"/>
        <v>2469.353216775608</v>
      </c>
      <c r="AD45">
        <f t="shared" si="11"/>
        <v>70748.87527455504</v>
      </c>
      <c r="AE45" s="19"/>
      <c r="AF45" s="51">
        <f>AF44+(2*$F$6)</f>
        <v>70.70657999999999</v>
      </c>
      <c r="AG45" s="51">
        <f>AG44+(2*$F$6)</f>
        <v>48.70657999999998</v>
      </c>
      <c r="AH45">
        <f t="shared" si="2"/>
        <v>189.16882878743033</v>
      </c>
      <c r="AI45">
        <f t="shared" si="3"/>
        <v>3289.998089539928</v>
      </c>
      <c r="AJ45">
        <f t="shared" si="12"/>
        <v>94771.97982426747</v>
      </c>
    </row>
    <row r="46" spans="24:36" ht="15">
      <c r="X46">
        <f t="shared" si="4"/>
        <v>37</v>
      </c>
      <c r="Z46" s="50">
        <f>Z45+(2*$F$5)</f>
        <v>72.32963999999998</v>
      </c>
      <c r="AA46" s="50">
        <f>AA45+(2*$F$5)</f>
        <v>50.329639999999934</v>
      </c>
      <c r="AB46">
        <f t="shared" si="0"/>
        <v>194.2254346540984</v>
      </c>
      <c r="AC46">
        <f t="shared" si="1"/>
        <v>2498.2642328364527</v>
      </c>
      <c r="AD46">
        <f t="shared" si="11"/>
        <v>73247.13950739149</v>
      </c>
      <c r="AE46" s="19"/>
      <c r="AF46" s="51">
        <f>AF45+(2*$F$6)</f>
        <v>71.40253999999999</v>
      </c>
      <c r="AG46" s="51">
        <f>AG45+(2*$F$6)</f>
        <v>49.40253999999998</v>
      </c>
      <c r="AH46">
        <f t="shared" si="2"/>
        <v>191.33679531880526</v>
      </c>
      <c r="AI46">
        <f t="shared" si="3"/>
        <v>3327.703063409724</v>
      </c>
      <c r="AJ46">
        <f t="shared" si="12"/>
        <v>98099.68288767719</v>
      </c>
    </row>
    <row r="47" spans="24:36" ht="15">
      <c r="X47">
        <f t="shared" si="4"/>
        <v>38</v>
      </c>
      <c r="Z47" s="50">
        <f>Z46+(2*$F$5)</f>
        <v>73.05099999999999</v>
      </c>
      <c r="AA47" s="50">
        <f>AA46+(2*$F$5)</f>
        <v>51.05099999999993</v>
      </c>
      <c r="AB47">
        <f t="shared" si="0"/>
        <v>196.47353116975594</v>
      </c>
      <c r="AC47">
        <f t="shared" si="1"/>
        <v>2527.1808323901305</v>
      </c>
      <c r="AD47">
        <f t="shared" si="11"/>
        <v>75774.32033978163</v>
      </c>
      <c r="AE47" s="19"/>
      <c r="AF47" s="51">
        <f>AF46+(2*$F$6)</f>
        <v>72.09849999999999</v>
      </c>
      <c r="AG47" s="51">
        <f>AG46+(2*$F$6)</f>
        <v>50.09849999999998</v>
      </c>
      <c r="AH47">
        <f t="shared" si="2"/>
        <v>193.50518495520353</v>
      </c>
      <c r="AI47">
        <f t="shared" si="3"/>
        <v>3365.4153958635293</v>
      </c>
      <c r="AJ47">
        <f t="shared" si="12"/>
        <v>101465.09828354072</v>
      </c>
    </row>
    <row r="48" spans="24:36" ht="15">
      <c r="X48">
        <f t="shared" si="4"/>
        <v>39</v>
      </c>
      <c r="Z48" s="50">
        <f>Z47+(2*$F$5)</f>
        <v>73.77235999999999</v>
      </c>
      <c r="AA48" s="50">
        <f>AA47+(2*$F$5)</f>
        <v>51.77235999999993</v>
      </c>
      <c r="AB48">
        <f t="shared" si="0"/>
        <v>198.72204668401076</v>
      </c>
      <c r="AC48">
        <f t="shared" si="1"/>
        <v>2556.102821398649</v>
      </c>
      <c r="AD48">
        <f t="shared" si="11"/>
        <v>78330.42316118027</v>
      </c>
      <c r="AE48" s="19"/>
      <c r="AF48" s="51">
        <f>AF47+(2*$F$6)</f>
        <v>72.79445999999999</v>
      </c>
      <c r="AG48" s="51">
        <f>AG47+(2*$F$6)</f>
        <v>50.79445999999998</v>
      </c>
      <c r="AH48">
        <f t="shared" si="2"/>
        <v>195.67398328236132</v>
      </c>
      <c r="AI48">
        <f t="shared" si="3"/>
        <v>3403.134836210462</v>
      </c>
      <c r="AJ48">
        <f t="shared" si="12"/>
        <v>104868.23311975118</v>
      </c>
    </row>
    <row r="49" spans="24:36" ht="15">
      <c r="X49">
        <f t="shared" si="4"/>
        <v>40</v>
      </c>
      <c r="Z49" s="50">
        <f>Z48+(2*$F$5)</f>
        <v>74.49372</v>
      </c>
      <c r="AA49" s="50">
        <f>AA48+(2*$F$5)</f>
        <v>52.493719999999925</v>
      </c>
      <c r="AB49">
        <f t="shared" si="0"/>
        <v>200.9709668039089</v>
      </c>
      <c r="AC49">
        <f t="shared" si="1"/>
        <v>2585.030014729707</v>
      </c>
      <c r="AD49">
        <f t="shared" si="11"/>
        <v>80915.45317590998</v>
      </c>
      <c r="AE49" s="19"/>
      <c r="AF49" s="51">
        <f>AF48+(2*$F$6)</f>
        <v>73.49041999999999</v>
      </c>
      <c r="AG49" s="51">
        <f>AG48+(2*$F$6)</f>
        <v>51.49041999999998</v>
      </c>
      <c r="AH49">
        <f t="shared" si="2"/>
        <v>197.8431765347449</v>
      </c>
      <c r="AI49">
        <f t="shared" si="3"/>
        <v>3440.861145042264</v>
      </c>
      <c r="AJ49">
        <f t="shared" si="12"/>
        <v>108309.09426479344</v>
      </c>
    </row>
    <row r="50" spans="24:36" ht="15">
      <c r="X50">
        <f t="shared" si="4"/>
        <v>41</v>
      </c>
      <c r="Z50" s="50">
        <f>Z49+(2*$F$5)</f>
        <v>75.21508</v>
      </c>
      <c r="AA50" s="50">
        <f>AA49+(2*$F$5)</f>
        <v>53.21507999999992</v>
      </c>
      <c r="AB50">
        <f t="shared" si="0"/>
        <v>203.2202777895133</v>
      </c>
      <c r="AC50">
        <f t="shared" si="1"/>
        <v>2613.9622356505624</v>
      </c>
      <c r="AD50">
        <f t="shared" si="11"/>
        <v>83529.41541156053</v>
      </c>
      <c r="AE50" s="19"/>
      <c r="AF50" s="51">
        <f>AF49+(2*$F$6)</f>
        <v>74.18637999999999</v>
      </c>
      <c r="AG50" s="51">
        <f>AG49+(2*$F$6)</f>
        <v>52.18637999999998</v>
      </c>
      <c r="AH50">
        <f t="shared" si="2"/>
        <v>200.01275155938728</v>
      </c>
      <c r="AI50">
        <f t="shared" si="3"/>
        <v>3478.594093604354</v>
      </c>
      <c r="AJ50">
        <f t="shared" si="12"/>
        <v>111787.68835839779</v>
      </c>
    </row>
    <row r="51" spans="24:36" ht="15">
      <c r="X51">
        <f t="shared" si="4"/>
        <v>42</v>
      </c>
      <c r="Z51" s="50">
        <f>Z50+(2*$F$5)</f>
        <v>75.93644</v>
      </c>
      <c r="AA51" s="50">
        <f>AA50+(2*$F$5)</f>
        <v>53.93643999999992</v>
      </c>
      <c r="AB51">
        <f t="shared" si="0"/>
        <v>205.46996651721375</v>
      </c>
      <c r="AC51">
        <f t="shared" si="1"/>
        <v>2642.8993153561055</v>
      </c>
      <c r="AD51">
        <f t="shared" si="11"/>
        <v>86172.31472691664</v>
      </c>
      <c r="AE51" s="19"/>
      <c r="AF51" s="51">
        <f>AF50+(2*$F$6)</f>
        <v>74.88233999999999</v>
      </c>
      <c r="AG51" s="51">
        <f>AG50+(2*$F$6)</f>
        <v>52.88233999999998</v>
      </c>
      <c r="AH51">
        <f t="shared" si="2"/>
        <v>202.18269578212144</v>
      </c>
      <c r="AI51">
        <f t="shared" si="3"/>
        <v>3516.33346320856</v>
      </c>
      <c r="AJ51">
        <f t="shared" si="12"/>
        <v>115304.02182160635</v>
      </c>
    </row>
    <row r="52" spans="24:36" ht="15">
      <c r="X52">
        <f t="shared" si="4"/>
        <v>43</v>
      </c>
      <c r="Z52" s="50">
        <f>Z51+(2*$F$5)</f>
        <v>76.65780000000001</v>
      </c>
      <c r="AA52" s="50">
        <f>AA51+(2*$F$5)</f>
        <v>54.65779999999992</v>
      </c>
      <c r="AB52">
        <f t="shared" si="0"/>
        <v>207.7200204454875</v>
      </c>
      <c r="AC52">
        <f t="shared" si="1"/>
        <v>2671.841092528444</v>
      </c>
      <c r="AD52">
        <f t="shared" si="11"/>
        <v>88844.15581944508</v>
      </c>
      <c r="AE52" s="19"/>
      <c r="AF52" s="51">
        <f>AF51+(2*$F$6)</f>
        <v>75.57829999999998</v>
      </c>
      <c r="AG52" s="51">
        <f>AG51+(2*$F$6)</f>
        <v>53.57829999999998</v>
      </c>
      <c r="AH52">
        <f t="shared" si="2"/>
        <v>204.35299717602769</v>
      </c>
      <c r="AI52">
        <f t="shared" si="3"/>
        <v>3554.079044684359</v>
      </c>
      <c r="AJ52">
        <f t="shared" si="12"/>
        <v>118858.10086629071</v>
      </c>
    </row>
    <row r="53" spans="24:36" ht="15">
      <c r="X53">
        <f t="shared" si="4"/>
        <v>44</v>
      </c>
      <c r="Z53" s="50">
        <f>Z52+(2*$F$5)</f>
        <v>77.37916000000001</v>
      </c>
      <c r="AA53" s="50">
        <f>AA52+(2*$F$5)</f>
        <v>55.379159999999914</v>
      </c>
      <c r="AB53">
        <f t="shared" si="0"/>
        <v>209.97042758292199</v>
      </c>
      <c r="AC53">
        <f t="shared" si="1"/>
        <v>2700.7874129255897</v>
      </c>
      <c r="AD53">
        <f t="shared" si="11"/>
        <v>91544.94323237067</v>
      </c>
      <c r="AE53" s="19"/>
      <c r="AF53" s="51">
        <f>AF52+(2*$F$6)</f>
        <v>76.27425999999998</v>
      </c>
      <c r="AG53" s="51">
        <f>AG52+(2*$F$6)</f>
        <v>54.27425999999998</v>
      </c>
      <c r="AH53">
        <f t="shared" si="2"/>
        <v>206.5236442319262</v>
      </c>
      <c r="AI53">
        <f t="shared" si="3"/>
        <v>3591.830637865688</v>
      </c>
      <c r="AJ53">
        <f t="shared" si="12"/>
        <v>122449.9315041564</v>
      </c>
    </row>
    <row r="54" spans="24:36" ht="15">
      <c r="X54">
        <f t="shared" si="4"/>
        <v>45</v>
      </c>
      <c r="Z54" s="50">
        <f>Z53+(2*$F$5)</f>
        <v>78.10052000000002</v>
      </c>
      <c r="AA54" s="50">
        <f>AA53+(2*$F$5)</f>
        <v>56.10051999999991</v>
      </c>
      <c r="AB54">
        <f t="shared" si="0"/>
        <v>212.2211764583269</v>
      </c>
      <c r="AC54">
        <f t="shared" si="1"/>
        <v>2729.7381289970203</v>
      </c>
      <c r="AD54">
        <f t="shared" si="11"/>
        <v>94274.6813613677</v>
      </c>
      <c r="AE54" s="19"/>
      <c r="AF54" s="51">
        <f>AF53+(2*$F$6)</f>
        <v>76.97021999999998</v>
      </c>
      <c r="AG54" s="51">
        <f>AG53+(2*$F$6)</f>
        <v>54.970219999999976</v>
      </c>
      <c r="AH54">
        <f t="shared" si="2"/>
        <v>208.69462593076304</v>
      </c>
      <c r="AI54">
        <f t="shared" si="3"/>
        <v>3629.588051110686</v>
      </c>
      <c r="AJ54">
        <f t="shared" si="12"/>
        <v>126079.51955526708</v>
      </c>
    </row>
    <row r="55" spans="24:36" ht="15">
      <c r="X55">
        <f t="shared" si="4"/>
        <v>46</v>
      </c>
      <c r="Z55" s="50">
        <f>Z54+(2*$F$5)</f>
        <v>78.82188000000002</v>
      </c>
      <c r="AA55" s="50">
        <f>AA54+(2*$F$5)</f>
        <v>56.82187999999991</v>
      </c>
      <c r="AB55">
        <f t="shared" si="0"/>
        <v>214.47225609277595</v>
      </c>
      <c r="AC55">
        <f t="shared" si="1"/>
        <v>2758.693099524058</v>
      </c>
      <c r="AD55">
        <f t="shared" si="11"/>
        <v>97033.37446089175</v>
      </c>
      <c r="AE55" s="19"/>
      <c r="AF55" s="51">
        <f>AF54+(2*$F$6)</f>
        <v>77.66617999999998</v>
      </c>
      <c r="AG55" s="51">
        <f>AG54+(2*$F$6)</f>
        <v>55.666179999999976</v>
      </c>
      <c r="AH55">
        <f t="shared" si="2"/>
        <v>210.86593171774672</v>
      </c>
      <c r="AI55">
        <f t="shared" si="3"/>
        <v>3667.3511008518813</v>
      </c>
      <c r="AJ55">
        <f t="shared" si="12"/>
        <v>129746.87065611896</v>
      </c>
    </row>
    <row r="56" spans="24:36" ht="15">
      <c r="X56">
        <f t="shared" si="4"/>
        <v>47</v>
      </c>
      <c r="Z56" s="50">
        <f>Z55+(2*$F$5)</f>
        <v>79.54324000000003</v>
      </c>
      <c r="AA56" s="50">
        <f>AA55+(2*$F$5)</f>
        <v>57.543239999999905</v>
      </c>
      <c r="AB56">
        <f t="shared" si="0"/>
        <v>216.72365597343736</v>
      </c>
      <c r="AC56">
        <f t="shared" si="1"/>
        <v>2787.6521892832634</v>
      </c>
      <c r="AD56">
        <f t="shared" si="11"/>
        <v>99821.02665017502</v>
      </c>
      <c r="AE56" s="19"/>
      <c r="AF56" s="51">
        <f>AF55+(2*$F$6)</f>
        <v>78.36213999999998</v>
      </c>
      <c r="AG56" s="51">
        <f>AG55+(2*$F$6)</f>
        <v>56.362139999999975</v>
      </c>
      <c r="AH56">
        <f t="shared" si="2"/>
        <v>213.03755147810972</v>
      </c>
      <c r="AI56">
        <f t="shared" si="3"/>
        <v>3705.1196111746353</v>
      </c>
      <c r="AJ56">
        <f t="shared" si="12"/>
        <v>133451.9902672936</v>
      </c>
    </row>
    <row r="57" spans="24:36" ht="15">
      <c r="X57">
        <f t="shared" si="4"/>
        <v>48</v>
      </c>
      <c r="Z57" s="50">
        <f>Z56+(2*$F$5)</f>
        <v>80.26460000000003</v>
      </c>
      <c r="AA57" s="50">
        <f>AA56+(2*$F$5)</f>
        <v>58.2645999999999</v>
      </c>
      <c r="AB57">
        <f t="shared" si="0"/>
        <v>218.97536602905797</v>
      </c>
      <c r="AC57">
        <f t="shared" si="1"/>
        <v>2816.615268731089</v>
      </c>
      <c r="AD57">
        <f t="shared" si="11"/>
        <v>102637.6419189061</v>
      </c>
      <c r="AE57" s="19"/>
      <c r="AF57" s="51">
        <f>AF56+(2*$F$6)</f>
        <v>79.05809999999998</v>
      </c>
      <c r="AG57" s="51">
        <f>AG56+(2*$F$6)</f>
        <v>57.058099999999975</v>
      </c>
      <c r="AH57">
        <f t="shared" si="2"/>
        <v>215.20947551437453</v>
      </c>
      <c r="AI57">
        <f t="shared" si="3"/>
        <v>3742.893413421763</v>
      </c>
      <c r="AJ57">
        <f t="shared" si="12"/>
        <v>137194.88368071534</v>
      </c>
    </row>
    <row r="58" spans="24:36" ht="15">
      <c r="X58">
        <f t="shared" si="4"/>
        <v>49</v>
      </c>
      <c r="Z58" s="50">
        <f>Z57+(2*$F$5)</f>
        <v>80.98596000000003</v>
      </c>
      <c r="AA58" s="50">
        <f>AA57+(2*$F$5)</f>
        <v>58.9859599999999</v>
      </c>
      <c r="AB58">
        <f t="shared" si="0"/>
        <v>221.2273766069811</v>
      </c>
      <c r="AC58">
        <f t="shared" si="1"/>
        <v>2845.5822137082723</v>
      </c>
      <c r="AD58">
        <f t="shared" si="11"/>
        <v>105483.22413261437</v>
      </c>
      <c r="AE58" s="19"/>
      <c r="AF58" s="51">
        <f>AF57+(2*$F$6)</f>
        <v>79.75405999999998</v>
      </c>
      <c r="AG58" s="51">
        <f>AG57+(2*$F$6)</f>
        <v>57.754059999999974</v>
      </c>
      <c r="AH58">
        <f t="shared" si="2"/>
        <v>217.3816945250179</v>
      </c>
      <c r="AI58">
        <f t="shared" si="3"/>
        <v>3780.672345822458</v>
      </c>
      <c r="AJ58">
        <f t="shared" si="12"/>
        <v>140975.5560265378</v>
      </c>
    </row>
    <row r="59" spans="24:36" ht="15">
      <c r="X59">
        <f t="shared" si="4"/>
        <v>50</v>
      </c>
      <c r="Z59" s="50">
        <f>Z58+(2*$F$5)</f>
        <v>81.70732000000004</v>
      </c>
      <c r="AA59" s="50">
        <f>AA58+(2*$F$5)</f>
        <v>59.707319999999896</v>
      </c>
      <c r="AB59">
        <f t="shared" si="0"/>
        <v>223.47967845158826</v>
      </c>
      <c r="AC59">
        <f t="shared" si="1"/>
        <v>2874.552905162533</v>
      </c>
      <c r="AD59">
        <f t="shared" si="11"/>
        <v>108357.7770377769</v>
      </c>
      <c r="AE59" s="19"/>
      <c r="AF59" s="51">
        <f>AF58+(2*$F$6)</f>
        <v>80.45001999999998</v>
      </c>
      <c r="AG59" s="51">
        <f>AG58+(2*$F$6)</f>
        <v>58.450019999999974</v>
      </c>
      <c r="AH59">
        <f t="shared" si="2"/>
        <v>219.55419958443255</v>
      </c>
      <c r="AI59">
        <f t="shared" si="3"/>
        <v>3818.4562531437946</v>
      </c>
      <c r="AJ59">
        <f t="shared" si="12"/>
        <v>144794.01227968157</v>
      </c>
    </row>
    <row r="61" spans="21:33" ht="15">
      <c r="U61" t="s">
        <v>43</v>
      </c>
      <c r="Z61" s="54">
        <v>59.88</v>
      </c>
      <c r="AA61" s="54">
        <v>37.77</v>
      </c>
      <c r="AF61">
        <f>Z61</f>
        <v>59.88</v>
      </c>
      <c r="AG61">
        <f>AA61</f>
        <v>37.77</v>
      </c>
    </row>
  </sheetData>
  <sheetProtection sheet="1" objects="1" scenarios="1"/>
  <mergeCells count="3">
    <mergeCell ref="C2:F2"/>
    <mergeCell ref="H2:J2"/>
    <mergeCell ref="P2:R2"/>
  </mergeCells>
  <hyperlinks>
    <hyperlink ref="C8" r:id="rId1" display="http://www.powerstream.com/Wire_Size.htm"/>
  </hyperlinks>
  <printOptions/>
  <pageMargins left="0.7" right="0.7" top="0.75" bottom="0.75" header="0.3" footer="0.3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Matt Watts</Manager>
  <Company>OpenSource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VIC &amp; Wire Calc</dc:title>
  <dc:subject>Stan Meyer Impedance Calculations</dc:subject>
  <dc:creator>sysadm</dc:creator>
  <cp:keywords>VIC</cp:keywords>
  <dc:description>VIC &amp; Bobbin Winding Calculations</dc:description>
  <cp:lastModifiedBy>sysadm</cp:lastModifiedBy>
  <dcterms:created xsi:type="dcterms:W3CDTF">2016-11-01T01:16:17Z</dcterms:created>
  <dcterms:modified xsi:type="dcterms:W3CDTF">2016-11-04T08:54:01Z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